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heets/sheet1.xml" ContentType="application/vnd.openxmlformats-officedocument.spreadsheetml.chartsheet+xml"/>
  <Override PartName="/xl/worksheets/sheet9.xml" ContentType="application/vnd.openxmlformats-officedocument.spreadsheetml.worksheet+xml"/>
  <Override PartName="/xl/chartsheets/sheet2.xml" ContentType="application/vnd.openxmlformats-officedocument.spreadsheetml.chart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style1.xml" ContentType="application/vnd.ms-office.chartstyle+xml"/>
  <Override PartName="/xl/charts/colors1.xml" ContentType="application/vnd.ms-office.chartcolorstyle+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4526"/>
  <workbookPr showInkAnnotation="0" autoCompressPictures="0"/>
  <bookViews>
    <workbookView xWindow="0" yWindow="0" windowWidth="25600" windowHeight="16060" tabRatio="500" activeTab="4"/>
  </bookViews>
  <sheets>
    <sheet name="Title Page" sheetId="74" r:id="rId1"/>
    <sheet name="Citation Info" sheetId="32" r:id="rId2"/>
    <sheet name="Table of Contents" sheetId="73" r:id="rId3"/>
    <sheet name="1.0 Overview-&gt;" sheetId="77" r:id="rId4"/>
    <sheet name="1.1 Intro " sheetId="7" r:id="rId5"/>
    <sheet name="1.2 Contact" sheetId="75" r:id="rId6"/>
    <sheet name="1.3 Royalty Yield Summary 2015" sheetId="30" r:id="rId7"/>
    <sheet name="1.4 Royalty Yield Series" sheetId="90" r:id="rId8"/>
    <sheet name="1.4.1 Fig-Royalty Yield Series" sheetId="93" r:id="rId9"/>
    <sheet name="1.5 Economic Summary 2015" sheetId="89" r:id="rId10"/>
    <sheet name="1.5.1 Fig-Economic Summary 2015" sheetId="94" r:id="rId11"/>
    <sheet name="1.6 Sensitivity" sheetId="56" r:id="rId12"/>
    <sheet name="1.7 Revenues by Licensor" sheetId="55" r:id="rId13"/>
    <sheet name="1.8 Device Sales" sheetId="9" r:id="rId14"/>
    <sheet name="1.9 OEM Sales" sheetId="11" r:id="rId15"/>
    <sheet name="2.0 Leaders-&gt;" sheetId="78" r:id="rId16"/>
    <sheet name="2.1 Qualcomm" sheetId="1" r:id="rId17"/>
    <sheet name="2.2 Ericsson" sheetId="3" r:id="rId18"/>
    <sheet name="2.3 Nokia" sheetId="4" r:id="rId19"/>
    <sheet name="2.3.1 Alcatel-Lucent (Nokia)" sheetId="35" r:id="rId20"/>
    <sheet name="2.4 Interdigital" sheetId="2" r:id="rId21"/>
    <sheet name="2.5 Microsoft" sheetId="8" r:id="rId22"/>
    <sheet name="3.0 Other Public-&gt;" sheetId="79" r:id="rId23"/>
    <sheet name="3.1 Philips" sheetId="41" r:id="rId24"/>
    <sheet name="3.2 ATT 802.11" sheetId="70" r:id="rId25"/>
    <sheet name="3.3 ATT MPEG4" sheetId="42" r:id="rId26"/>
    <sheet name="3.4 Broadcom" sheetId="36" r:id="rId27"/>
    <sheet name="3.5 Tessera" sheetId="57" r:id="rId28"/>
    <sheet name="3.6 Rambus" sheetId="61" r:id="rId29"/>
    <sheet name="3.7 Acacia Technologies" sheetId="14" r:id="rId30"/>
    <sheet name="3.8 WiLAN" sheetId="15" r:id="rId31"/>
    <sheet name="3.9 Parkervision" sheetId="69" r:id="rId32"/>
    <sheet name="3.10 Unwired Planet" sheetId="26" r:id="rId33"/>
    <sheet name="3.11 VirnetX" sheetId="68" r:id="rId34"/>
    <sheet name="3.12 Marathon Patent Group" sheetId="63" r:id="rId35"/>
    <sheet name="4.0 Pools-&gt;" sheetId="80" r:id="rId36"/>
    <sheet name="4.1 Via Licensing AAC" sheetId="19" r:id="rId37"/>
    <sheet name="4.2 Via Licensing LTE" sheetId="25" r:id="rId38"/>
    <sheet name="4.3 MPEGLA MPEG4" sheetId="21" r:id="rId39"/>
    <sheet name="4.4 MPEGLA AVC H.264" sheetId="22" r:id="rId40"/>
    <sheet name="4.5 SISVEL LTE" sheetId="37" r:id="rId41"/>
    <sheet name="4.6 SISVEL Wifi" sheetId="43" r:id="rId42"/>
    <sheet name="4.7 SIPROLab WCDMA" sheetId="20" r:id="rId43"/>
    <sheet name="4.8 Vectis WiFi" sheetId="62" r:id="rId44"/>
    <sheet name="5.0 Other Private-&gt;" sheetId="81" r:id="rId45"/>
    <sheet name="5.1 SISVEL Wireless" sheetId="38" r:id="rId46"/>
    <sheet name="5.2 IP Com" sheetId="51" r:id="rId47"/>
    <sheet name="5.3 PanOptis-Optis" sheetId="58" r:id="rId48"/>
    <sheet name="5.4 IP Bridge" sheetId="66" r:id="rId49"/>
    <sheet name="5.5 Intellectual Ventures" sheetId="72" r:id="rId50"/>
    <sheet name="5.6 Huawei" sheetId="5" r:id="rId51"/>
    <sheet name="6.0 Others" sheetId="88" r:id="rId52"/>
    <sheet name="7.0 Closing" sheetId="85" r:id="rId53"/>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N18" i="9" l="1"/>
  <c r="C8" i="89"/>
  <c r="B28" i="55"/>
  <c r="E21" i="2"/>
  <c r="C28" i="55"/>
  <c r="G20" i="3"/>
  <c r="I20" i="3"/>
  <c r="D28" i="55"/>
  <c r="D23" i="35"/>
  <c r="E28" i="55"/>
  <c r="D21" i="4"/>
  <c r="F28" i="55"/>
  <c r="G28" i="55"/>
  <c r="B29" i="68"/>
  <c r="H28" i="55"/>
  <c r="I28" i="55"/>
  <c r="B17" i="8"/>
  <c r="B18" i="8"/>
  <c r="B19" i="8"/>
  <c r="J28" i="55"/>
  <c r="K28" i="55"/>
  <c r="D39" i="14"/>
  <c r="L28" i="55"/>
  <c r="B78" i="57"/>
  <c r="G78" i="57"/>
  <c r="B100" i="57"/>
  <c r="H78" i="57"/>
  <c r="C100" i="57"/>
  <c r="H110" i="57"/>
  <c r="D100" i="57"/>
  <c r="E100" i="57"/>
  <c r="M28" i="55"/>
  <c r="B99" i="61"/>
  <c r="C99" i="61"/>
  <c r="D99" i="61"/>
  <c r="J67" i="61"/>
  <c r="J68" i="61"/>
  <c r="J69" i="61"/>
  <c r="J70" i="61"/>
  <c r="C86" i="61"/>
  <c r="B86" i="61"/>
  <c r="D86" i="61"/>
  <c r="E99" i="61"/>
  <c r="F99" i="61"/>
  <c r="N28" i="55"/>
  <c r="O28" i="55"/>
  <c r="P28" i="55"/>
  <c r="C18" i="41"/>
  <c r="F18" i="41"/>
  <c r="Q28" i="55"/>
  <c r="R28" i="55"/>
  <c r="B35" i="36"/>
  <c r="E48" i="36"/>
  <c r="E49" i="36"/>
  <c r="F49" i="36"/>
  <c r="S28" i="55"/>
  <c r="D1063" i="21"/>
  <c r="D1066" i="21"/>
  <c r="U28" i="55"/>
  <c r="D1731" i="22"/>
  <c r="B1731" i="22"/>
  <c r="E1731" i="22"/>
  <c r="F1731" i="22"/>
  <c r="D1732" i="22"/>
  <c r="B1732" i="22"/>
  <c r="E1732" i="22"/>
  <c r="F1732" i="22"/>
  <c r="D1733" i="22"/>
  <c r="B1733" i="22"/>
  <c r="E1733" i="22"/>
  <c r="F1733" i="22"/>
  <c r="D1734" i="22"/>
  <c r="B1734" i="22"/>
  <c r="E1734" i="22"/>
  <c r="F1734" i="22"/>
  <c r="D1737" i="22"/>
  <c r="E1737" i="22"/>
  <c r="F1737" i="22"/>
  <c r="D1738" i="22"/>
  <c r="E1738" i="22"/>
  <c r="F1738" i="22"/>
  <c r="D1739" i="22"/>
  <c r="E1739" i="22"/>
  <c r="F1739" i="22"/>
  <c r="D1740" i="22"/>
  <c r="E1740" i="22"/>
  <c r="F1740" i="22"/>
  <c r="D1741" i="22"/>
  <c r="E1741" i="22"/>
  <c r="F1741" i="22"/>
  <c r="D1742" i="22"/>
  <c r="E1742" i="22"/>
  <c r="F1742" i="22"/>
  <c r="D1743" i="22"/>
  <c r="E1743" i="22"/>
  <c r="F1743" i="22"/>
  <c r="D1744" i="22"/>
  <c r="E1744" i="22"/>
  <c r="F1744" i="22"/>
  <c r="D1745" i="22"/>
  <c r="E1745" i="22"/>
  <c r="F1745" i="22"/>
  <c r="D1746" i="22"/>
  <c r="E1746" i="22"/>
  <c r="F1746" i="22"/>
  <c r="D1747" i="22"/>
  <c r="E1747" i="22"/>
  <c r="F1747" i="22"/>
  <c r="D1748" i="22"/>
  <c r="E1748" i="22"/>
  <c r="F1748" i="22"/>
  <c r="D1749" i="22"/>
  <c r="E1749" i="22"/>
  <c r="F1749" i="22"/>
  <c r="D1750" i="22"/>
  <c r="E1750" i="22"/>
  <c r="F1750" i="22"/>
  <c r="D1751" i="22"/>
  <c r="E1751" i="22"/>
  <c r="F1751" i="22"/>
  <c r="D1752" i="22"/>
  <c r="E1752" i="22"/>
  <c r="F1752" i="22"/>
  <c r="D1753" i="22"/>
  <c r="E1753" i="22"/>
  <c r="F1753" i="22"/>
  <c r="D1754" i="22"/>
  <c r="E1754" i="22"/>
  <c r="F1754" i="22"/>
  <c r="D1755" i="22"/>
  <c r="E1755" i="22"/>
  <c r="F1755" i="22"/>
  <c r="D1756" i="22"/>
  <c r="E1756" i="22"/>
  <c r="F1756" i="22"/>
  <c r="D1757" i="22"/>
  <c r="E1757" i="22"/>
  <c r="F1757" i="22"/>
  <c r="D1758" i="22"/>
  <c r="E1758" i="22"/>
  <c r="F1758" i="22"/>
  <c r="D1759" i="22"/>
  <c r="E1759" i="22"/>
  <c r="F1759" i="22"/>
  <c r="D1760" i="22"/>
  <c r="E1760" i="22"/>
  <c r="F1760" i="22"/>
  <c r="D1761" i="22"/>
  <c r="E1761" i="22"/>
  <c r="F1761" i="22"/>
  <c r="D1762" i="22"/>
  <c r="E1762" i="22"/>
  <c r="F1762" i="22"/>
  <c r="F1764" i="22"/>
  <c r="V28" i="55"/>
  <c r="R1082" i="19"/>
  <c r="S1082" i="19"/>
  <c r="T1082" i="19"/>
  <c r="U1082" i="19"/>
  <c r="V1082" i="19"/>
  <c r="W1082" i="19"/>
  <c r="X1082" i="19"/>
  <c r="Y1082" i="19"/>
  <c r="F1082" i="19"/>
  <c r="Z1082" i="19"/>
  <c r="AA1082" i="19"/>
  <c r="R1083" i="19"/>
  <c r="S1083" i="19"/>
  <c r="T1083" i="19"/>
  <c r="U1083" i="19"/>
  <c r="V1083" i="19"/>
  <c r="W1083" i="19"/>
  <c r="X1083" i="19"/>
  <c r="AA1083" i="19"/>
  <c r="R1084" i="19"/>
  <c r="S1084" i="19"/>
  <c r="T1084" i="19"/>
  <c r="U1084" i="19"/>
  <c r="V1084" i="19"/>
  <c r="W1084" i="19"/>
  <c r="X1084" i="19"/>
  <c r="AA1084" i="19"/>
  <c r="R1088" i="19"/>
  <c r="S1088" i="19"/>
  <c r="T1088" i="19"/>
  <c r="U1088" i="19"/>
  <c r="AA1088" i="19"/>
  <c r="R1089" i="19"/>
  <c r="S1089" i="19"/>
  <c r="T1089" i="19"/>
  <c r="U1089" i="19"/>
  <c r="AA1089" i="19"/>
  <c r="R1090" i="19"/>
  <c r="S1090" i="19"/>
  <c r="T1090" i="19"/>
  <c r="U1090" i="19"/>
  <c r="AA1090" i="19"/>
  <c r="R1091" i="19"/>
  <c r="S1091" i="19"/>
  <c r="T1091" i="19"/>
  <c r="U1091" i="19"/>
  <c r="AA1091" i="19"/>
  <c r="R1092" i="19"/>
  <c r="S1092" i="19"/>
  <c r="T1092" i="19"/>
  <c r="U1092" i="19"/>
  <c r="AA1092" i="19"/>
  <c r="R1093" i="19"/>
  <c r="S1093" i="19"/>
  <c r="T1093" i="19"/>
  <c r="U1093" i="19"/>
  <c r="AA1093" i="19"/>
  <c r="R1094" i="19"/>
  <c r="S1094" i="19"/>
  <c r="T1094" i="19"/>
  <c r="U1094" i="19"/>
  <c r="AA1094" i="19"/>
  <c r="R1095" i="19"/>
  <c r="S1095" i="19"/>
  <c r="T1095" i="19"/>
  <c r="U1095" i="19"/>
  <c r="AA1095" i="19"/>
  <c r="R1096" i="19"/>
  <c r="S1096" i="19"/>
  <c r="T1096" i="19"/>
  <c r="U1096" i="19"/>
  <c r="AA1096" i="19"/>
  <c r="R1097" i="19"/>
  <c r="S1097" i="19"/>
  <c r="T1097" i="19"/>
  <c r="U1097" i="19"/>
  <c r="AA1097" i="19"/>
  <c r="R1098" i="19"/>
  <c r="S1098" i="19"/>
  <c r="T1098" i="19"/>
  <c r="U1098" i="19"/>
  <c r="AA1098" i="19"/>
  <c r="R1099" i="19"/>
  <c r="S1099" i="19"/>
  <c r="T1099" i="19"/>
  <c r="U1099" i="19"/>
  <c r="AA1099" i="19"/>
  <c r="R1100" i="19"/>
  <c r="S1100" i="19"/>
  <c r="T1100" i="19"/>
  <c r="U1100" i="19"/>
  <c r="AA1100" i="19"/>
  <c r="R1101" i="19"/>
  <c r="S1101" i="19"/>
  <c r="T1101" i="19"/>
  <c r="U1101" i="19"/>
  <c r="AA1101" i="19"/>
  <c r="R1102" i="19"/>
  <c r="S1102" i="19"/>
  <c r="T1102" i="19"/>
  <c r="U1102" i="19"/>
  <c r="AA1102" i="19"/>
  <c r="R1103" i="19"/>
  <c r="S1103" i="19"/>
  <c r="T1103" i="19"/>
  <c r="U1103" i="19"/>
  <c r="AA1103" i="19"/>
  <c r="R1104" i="19"/>
  <c r="S1104" i="19"/>
  <c r="T1104" i="19"/>
  <c r="U1104" i="19"/>
  <c r="AA1104" i="19"/>
  <c r="R1105" i="19"/>
  <c r="S1105" i="19"/>
  <c r="T1105" i="19"/>
  <c r="U1105" i="19"/>
  <c r="AA1105" i="19"/>
  <c r="R1106" i="19"/>
  <c r="S1106" i="19"/>
  <c r="T1106" i="19"/>
  <c r="U1106" i="19"/>
  <c r="AA1106" i="19"/>
  <c r="R1107" i="19"/>
  <c r="S1107" i="19"/>
  <c r="T1107" i="19"/>
  <c r="U1107" i="19"/>
  <c r="AA1107" i="19"/>
  <c r="R1108" i="19"/>
  <c r="S1108" i="19"/>
  <c r="T1108" i="19"/>
  <c r="U1108" i="19"/>
  <c r="AA1108" i="19"/>
  <c r="R1109" i="19"/>
  <c r="S1109" i="19"/>
  <c r="T1109" i="19"/>
  <c r="U1109" i="19"/>
  <c r="AA1109" i="19"/>
  <c r="R1110" i="19"/>
  <c r="S1110" i="19"/>
  <c r="T1110" i="19"/>
  <c r="U1110" i="19"/>
  <c r="AA1110" i="19"/>
  <c r="R1111" i="19"/>
  <c r="S1111" i="19"/>
  <c r="T1111" i="19"/>
  <c r="U1111" i="19"/>
  <c r="AA1111" i="19"/>
  <c r="R1112" i="19"/>
  <c r="S1112" i="19"/>
  <c r="T1112" i="19"/>
  <c r="U1112" i="19"/>
  <c r="AA1112" i="19"/>
  <c r="R1113" i="19"/>
  <c r="S1113" i="19"/>
  <c r="T1113" i="19"/>
  <c r="U1113" i="19"/>
  <c r="AA1113" i="19"/>
  <c r="R1114" i="19"/>
  <c r="S1114" i="19"/>
  <c r="T1114" i="19"/>
  <c r="U1114" i="19"/>
  <c r="AA1114" i="19"/>
  <c r="R1115" i="19"/>
  <c r="S1115" i="19"/>
  <c r="T1115" i="19"/>
  <c r="U1115" i="19"/>
  <c r="AA1115" i="19"/>
  <c r="R1116" i="19"/>
  <c r="S1116" i="19"/>
  <c r="T1116" i="19"/>
  <c r="U1116" i="19"/>
  <c r="AA1116" i="19"/>
  <c r="AA1118" i="19"/>
  <c r="W28" i="55"/>
  <c r="F84" i="20"/>
  <c r="G84" i="20"/>
  <c r="H84" i="20"/>
  <c r="I84" i="20"/>
  <c r="J84" i="20"/>
  <c r="B84" i="20"/>
  <c r="K84" i="20"/>
  <c r="L84" i="20"/>
  <c r="M84" i="20"/>
  <c r="N84" i="20"/>
  <c r="O84" i="20"/>
  <c r="P84" i="20"/>
  <c r="F85" i="20"/>
  <c r="G85" i="20"/>
  <c r="H85" i="20"/>
  <c r="I85" i="20"/>
  <c r="J85" i="20"/>
  <c r="B85" i="20"/>
  <c r="K85" i="20"/>
  <c r="L85" i="20"/>
  <c r="M85" i="20"/>
  <c r="N85" i="20"/>
  <c r="O85" i="20"/>
  <c r="P85" i="20"/>
  <c r="F86" i="20"/>
  <c r="G86" i="20"/>
  <c r="H86" i="20"/>
  <c r="I86" i="20"/>
  <c r="B86" i="20"/>
  <c r="J86" i="20"/>
  <c r="L86" i="20"/>
  <c r="M86" i="20"/>
  <c r="N86" i="20"/>
  <c r="O86" i="20"/>
  <c r="P86" i="20"/>
  <c r="F87" i="20"/>
  <c r="G87" i="20"/>
  <c r="H87" i="20"/>
  <c r="L87" i="20"/>
  <c r="M87" i="20"/>
  <c r="N87" i="20"/>
  <c r="O87" i="20"/>
  <c r="P87" i="20"/>
  <c r="F88" i="20"/>
  <c r="G88" i="20"/>
  <c r="H88" i="20"/>
  <c r="B88" i="20"/>
  <c r="I88" i="20"/>
  <c r="L88" i="20"/>
  <c r="M88" i="20"/>
  <c r="N88" i="20"/>
  <c r="O88" i="20"/>
  <c r="P88" i="20"/>
  <c r="F89" i="20"/>
  <c r="G89" i="20"/>
  <c r="B89" i="20"/>
  <c r="H89" i="20"/>
  <c r="L89" i="20"/>
  <c r="M89" i="20"/>
  <c r="N89" i="20"/>
  <c r="O89" i="20"/>
  <c r="P89" i="20"/>
  <c r="F90" i="20"/>
  <c r="G90" i="20"/>
  <c r="H90" i="20"/>
  <c r="B90" i="20"/>
  <c r="I90" i="20"/>
  <c r="L90" i="20"/>
  <c r="M90" i="20"/>
  <c r="N90" i="20"/>
  <c r="O90" i="20"/>
  <c r="P90" i="20"/>
  <c r="F91" i="20"/>
  <c r="G91" i="20"/>
  <c r="H91" i="20"/>
  <c r="B91" i="20"/>
  <c r="I91" i="20"/>
  <c r="L91" i="20"/>
  <c r="M91" i="20"/>
  <c r="N91" i="20"/>
  <c r="O91" i="20"/>
  <c r="P91" i="20"/>
  <c r="F92" i="20"/>
  <c r="G92" i="20"/>
  <c r="H92" i="20"/>
  <c r="B92" i="20"/>
  <c r="I92" i="20"/>
  <c r="L92" i="20"/>
  <c r="M92" i="20"/>
  <c r="N92" i="20"/>
  <c r="O92" i="20"/>
  <c r="P92" i="20"/>
  <c r="F93" i="20"/>
  <c r="G93" i="20"/>
  <c r="B93" i="20"/>
  <c r="H93" i="20"/>
  <c r="L93" i="20"/>
  <c r="M93" i="20"/>
  <c r="N93" i="20"/>
  <c r="O93" i="20"/>
  <c r="P93" i="20"/>
  <c r="F94" i="20"/>
  <c r="B94" i="20"/>
  <c r="G94" i="20"/>
  <c r="L94" i="20"/>
  <c r="M94" i="20"/>
  <c r="N94" i="20"/>
  <c r="O94" i="20"/>
  <c r="P94" i="20"/>
  <c r="F95" i="20"/>
  <c r="B95" i="20"/>
  <c r="G95" i="20"/>
  <c r="L95" i="20"/>
  <c r="M95" i="20"/>
  <c r="N95" i="20"/>
  <c r="O95" i="20"/>
  <c r="P95" i="20"/>
  <c r="F96" i="20"/>
  <c r="G96" i="20"/>
  <c r="L96" i="20"/>
  <c r="M96" i="20"/>
  <c r="N96" i="20"/>
  <c r="O96" i="20"/>
  <c r="P96" i="20"/>
  <c r="F97" i="20"/>
  <c r="G97" i="20"/>
  <c r="L97" i="20"/>
  <c r="M97" i="20"/>
  <c r="N97" i="20"/>
  <c r="O97" i="20"/>
  <c r="P97" i="20"/>
  <c r="F98" i="20"/>
  <c r="G98" i="20"/>
  <c r="L98" i="20"/>
  <c r="M98" i="20"/>
  <c r="N98" i="20"/>
  <c r="O98" i="20"/>
  <c r="P98" i="20"/>
  <c r="F99" i="20"/>
  <c r="G99" i="20"/>
  <c r="L99" i="20"/>
  <c r="M99" i="20"/>
  <c r="N99" i="20"/>
  <c r="O99" i="20"/>
  <c r="P99" i="20"/>
  <c r="F100" i="20"/>
  <c r="G100" i="20"/>
  <c r="L100" i="20"/>
  <c r="M100" i="20"/>
  <c r="N100" i="20"/>
  <c r="O100" i="20"/>
  <c r="P100" i="20"/>
  <c r="F101" i="20"/>
  <c r="G101" i="20"/>
  <c r="L101" i="20"/>
  <c r="M101" i="20"/>
  <c r="N101" i="20"/>
  <c r="O101" i="20"/>
  <c r="P101" i="20"/>
  <c r="F102" i="20"/>
  <c r="G102" i="20"/>
  <c r="L102" i="20"/>
  <c r="M102" i="20"/>
  <c r="N102" i="20"/>
  <c r="O102" i="20"/>
  <c r="P102" i="20"/>
  <c r="F103" i="20"/>
  <c r="G103" i="20"/>
  <c r="L103" i="20"/>
  <c r="M103" i="20"/>
  <c r="N103" i="20"/>
  <c r="O103" i="20"/>
  <c r="P103" i="20"/>
  <c r="F104" i="20"/>
  <c r="G104" i="20"/>
  <c r="L104" i="20"/>
  <c r="M104" i="20"/>
  <c r="N104" i="20"/>
  <c r="O104" i="20"/>
  <c r="P104" i="20"/>
  <c r="F105" i="20"/>
  <c r="G105" i="20"/>
  <c r="L105" i="20"/>
  <c r="M105" i="20"/>
  <c r="N105" i="20"/>
  <c r="O105" i="20"/>
  <c r="P105" i="20"/>
  <c r="F106" i="20"/>
  <c r="G106" i="20"/>
  <c r="L106" i="20"/>
  <c r="M106" i="20"/>
  <c r="N106" i="20"/>
  <c r="O106" i="20"/>
  <c r="P106" i="20"/>
  <c r="F107" i="20"/>
  <c r="G107" i="20"/>
  <c r="L107" i="20"/>
  <c r="M107" i="20"/>
  <c r="N107" i="20"/>
  <c r="O107" i="20"/>
  <c r="P107" i="20"/>
  <c r="F108" i="20"/>
  <c r="G108" i="20"/>
  <c r="L108" i="20"/>
  <c r="M108" i="20"/>
  <c r="N108" i="20"/>
  <c r="O108" i="20"/>
  <c r="P108" i="20"/>
  <c r="F109" i="20"/>
  <c r="G109" i="20"/>
  <c r="L109" i="20"/>
  <c r="M109" i="20"/>
  <c r="N109" i="20"/>
  <c r="O109" i="20"/>
  <c r="P109" i="20"/>
  <c r="F110" i="20"/>
  <c r="G110" i="20"/>
  <c r="L110" i="20"/>
  <c r="M110" i="20"/>
  <c r="N110" i="20"/>
  <c r="O110" i="20"/>
  <c r="P110" i="20"/>
  <c r="F111" i="20"/>
  <c r="G111" i="20"/>
  <c r="L111" i="20"/>
  <c r="M111" i="20"/>
  <c r="N111" i="20"/>
  <c r="O111" i="20"/>
  <c r="P111" i="20"/>
  <c r="F112" i="20"/>
  <c r="G112" i="20"/>
  <c r="L112" i="20"/>
  <c r="M112" i="20"/>
  <c r="N112" i="20"/>
  <c r="O112" i="20"/>
  <c r="P112" i="20"/>
  <c r="F113" i="20"/>
  <c r="G113" i="20"/>
  <c r="L113" i="20"/>
  <c r="M113" i="20"/>
  <c r="N113" i="20"/>
  <c r="O113" i="20"/>
  <c r="P113" i="20"/>
  <c r="F114" i="20"/>
  <c r="G114" i="20"/>
  <c r="L114" i="20"/>
  <c r="M114" i="20"/>
  <c r="N114" i="20"/>
  <c r="O114" i="20"/>
  <c r="P114" i="20"/>
  <c r="F115" i="20"/>
  <c r="G115" i="20"/>
  <c r="L115" i="20"/>
  <c r="M115" i="20"/>
  <c r="N115" i="20"/>
  <c r="O115" i="20"/>
  <c r="P115" i="20"/>
  <c r="F116" i="20"/>
  <c r="G116" i="20"/>
  <c r="L116" i="20"/>
  <c r="M116" i="20"/>
  <c r="N116" i="20"/>
  <c r="O116" i="20"/>
  <c r="P116" i="20"/>
  <c r="F117" i="20"/>
  <c r="G117" i="20"/>
  <c r="L117" i="20"/>
  <c r="M117" i="20"/>
  <c r="N117" i="20"/>
  <c r="O117" i="20"/>
  <c r="P117" i="20"/>
  <c r="F118" i="20"/>
  <c r="G118" i="20"/>
  <c r="L118" i="20"/>
  <c r="M118" i="20"/>
  <c r="N118" i="20"/>
  <c r="O118" i="20"/>
  <c r="P118" i="20"/>
  <c r="F119" i="20"/>
  <c r="G119" i="20"/>
  <c r="L119" i="20"/>
  <c r="M119" i="20"/>
  <c r="N119" i="20"/>
  <c r="O119" i="20"/>
  <c r="P119" i="20"/>
  <c r="P120" i="20"/>
  <c r="P121" i="20"/>
  <c r="X28" i="55"/>
  <c r="B67" i="42"/>
  <c r="C67" i="42"/>
  <c r="D67" i="42"/>
  <c r="E67" i="42"/>
  <c r="Y28" i="55"/>
  <c r="AH28" i="55"/>
  <c r="C9" i="89"/>
  <c r="G18" i="9"/>
  <c r="C10" i="89"/>
  <c r="F11" i="89"/>
  <c r="C11" i="89"/>
  <c r="C13" i="89"/>
  <c r="C12" i="89"/>
  <c r="C14" i="89"/>
  <c r="D12" i="89"/>
  <c r="D9" i="89"/>
  <c r="D10" i="89"/>
  <c r="D11" i="89"/>
  <c r="D13" i="89"/>
  <c r="D14" i="89"/>
  <c r="F18" i="90"/>
  <c r="B27" i="55"/>
  <c r="E20" i="2"/>
  <c r="C27" i="55"/>
  <c r="G19" i="3"/>
  <c r="I19" i="3"/>
  <c r="D27" i="55"/>
  <c r="D22" i="35"/>
  <c r="E27" i="55"/>
  <c r="D20" i="4"/>
  <c r="F27" i="55"/>
  <c r="G27" i="55"/>
  <c r="H27" i="55"/>
  <c r="I27" i="55"/>
  <c r="J27" i="55"/>
  <c r="K27" i="55"/>
  <c r="D38" i="14"/>
  <c r="L27" i="55"/>
  <c r="D77" i="57"/>
  <c r="B99" i="57"/>
  <c r="B77" i="57"/>
  <c r="H77" i="57"/>
  <c r="C99" i="57"/>
  <c r="D99" i="57"/>
  <c r="E99" i="57"/>
  <c r="M27" i="55"/>
  <c r="B98" i="61"/>
  <c r="C98" i="61"/>
  <c r="D98" i="61"/>
  <c r="J63" i="61"/>
  <c r="J64" i="61"/>
  <c r="J65" i="61"/>
  <c r="J66" i="61"/>
  <c r="C85" i="61"/>
  <c r="B85" i="61"/>
  <c r="D85" i="61"/>
  <c r="E98" i="61"/>
  <c r="F98" i="61"/>
  <c r="N27" i="55"/>
  <c r="O27" i="55"/>
  <c r="P27" i="55"/>
  <c r="R27" i="55"/>
  <c r="F48" i="36"/>
  <c r="S27" i="55"/>
  <c r="B66" i="42"/>
  <c r="C66" i="42"/>
  <c r="D66" i="42"/>
  <c r="E66" i="42"/>
  <c r="Y27" i="55"/>
  <c r="N17" i="9"/>
  <c r="F17" i="90"/>
  <c r="B26" i="55"/>
  <c r="E19" i="2"/>
  <c r="C26" i="55"/>
  <c r="G18" i="3"/>
  <c r="I18" i="3"/>
  <c r="D26" i="55"/>
  <c r="D21" i="35"/>
  <c r="E26" i="55"/>
  <c r="D19" i="4"/>
  <c r="F26" i="55"/>
  <c r="G26" i="55"/>
  <c r="H26" i="55"/>
  <c r="I26" i="55"/>
  <c r="J26" i="55"/>
  <c r="K26" i="55"/>
  <c r="D37" i="14"/>
  <c r="L26" i="55"/>
  <c r="B98" i="57"/>
  <c r="B76" i="57"/>
  <c r="H76" i="57"/>
  <c r="C98" i="57"/>
  <c r="D98" i="57"/>
  <c r="E98" i="57"/>
  <c r="M26" i="55"/>
  <c r="B97" i="61"/>
  <c r="C97" i="61"/>
  <c r="D97" i="61"/>
  <c r="J59" i="61"/>
  <c r="J60" i="61"/>
  <c r="J61" i="61"/>
  <c r="J62" i="61"/>
  <c r="C84" i="61"/>
  <c r="B84" i="61"/>
  <c r="D84" i="61"/>
  <c r="E97" i="61"/>
  <c r="F97" i="61"/>
  <c r="N26" i="55"/>
  <c r="O26" i="55"/>
  <c r="P26" i="55"/>
  <c r="R26" i="55"/>
  <c r="F47" i="36"/>
  <c r="S26" i="55"/>
  <c r="B65" i="42"/>
  <c r="C65" i="42"/>
  <c r="D65" i="42"/>
  <c r="E65" i="42"/>
  <c r="Y26" i="55"/>
  <c r="N16" i="9"/>
  <c r="F16" i="90"/>
  <c r="B25" i="55"/>
  <c r="E18" i="2"/>
  <c r="C25" i="55"/>
  <c r="F17" i="3"/>
  <c r="G17" i="3"/>
  <c r="I17" i="3"/>
  <c r="D25" i="55"/>
  <c r="D20" i="35"/>
  <c r="E25" i="55"/>
  <c r="D18" i="4"/>
  <c r="F25" i="55"/>
  <c r="G25" i="55"/>
  <c r="H25" i="55"/>
  <c r="I25" i="55"/>
  <c r="B16" i="8"/>
  <c r="J25" i="55"/>
  <c r="K25" i="55"/>
  <c r="D36" i="14"/>
  <c r="L25" i="55"/>
  <c r="B75" i="57"/>
  <c r="G75" i="57"/>
  <c r="B97" i="57"/>
  <c r="H75" i="57"/>
  <c r="C97" i="57"/>
  <c r="D97" i="57"/>
  <c r="E97" i="57"/>
  <c r="M25" i="55"/>
  <c r="D40" i="61"/>
  <c r="D96" i="61"/>
  <c r="J55" i="61"/>
  <c r="J56" i="61"/>
  <c r="J57" i="61"/>
  <c r="J58" i="61"/>
  <c r="C83" i="61"/>
  <c r="B83" i="61"/>
  <c r="D83" i="61"/>
  <c r="E96" i="61"/>
  <c r="F96" i="61"/>
  <c r="N25" i="55"/>
  <c r="R25" i="55"/>
  <c r="F46" i="36"/>
  <c r="S25" i="55"/>
  <c r="B64" i="42"/>
  <c r="C64" i="42"/>
  <c r="D64" i="42"/>
  <c r="E64" i="42"/>
  <c r="Y25" i="55"/>
  <c r="N15" i="9"/>
  <c r="F15" i="90"/>
  <c r="B24" i="55"/>
  <c r="E17" i="2"/>
  <c r="C24" i="55"/>
  <c r="F16" i="3"/>
  <c r="G16" i="3"/>
  <c r="I16" i="3"/>
  <c r="D24" i="55"/>
  <c r="D19" i="35"/>
  <c r="E24" i="55"/>
  <c r="D17" i="4"/>
  <c r="F24" i="55"/>
  <c r="G24" i="55"/>
  <c r="H24" i="55"/>
  <c r="I24" i="55"/>
  <c r="B15" i="8"/>
  <c r="J24" i="55"/>
  <c r="K24" i="55"/>
  <c r="D35" i="14"/>
  <c r="L24" i="55"/>
  <c r="B96" i="57"/>
  <c r="B74" i="57"/>
  <c r="H74" i="57"/>
  <c r="C96" i="57"/>
  <c r="D96" i="57"/>
  <c r="E96" i="57"/>
  <c r="M24" i="55"/>
  <c r="D39" i="61"/>
  <c r="D95" i="61"/>
  <c r="F95" i="61"/>
  <c r="N24" i="55"/>
  <c r="R24" i="55"/>
  <c r="N14" i="9"/>
  <c r="F14" i="90"/>
  <c r="B23" i="55"/>
  <c r="E16" i="2"/>
  <c r="C23" i="55"/>
  <c r="F15" i="3"/>
  <c r="G15" i="3"/>
  <c r="I15" i="3"/>
  <c r="D23" i="55"/>
  <c r="D18" i="35"/>
  <c r="E23" i="55"/>
  <c r="D16" i="4"/>
  <c r="F23" i="55"/>
  <c r="G23" i="55"/>
  <c r="H23" i="55"/>
  <c r="J23" i="55"/>
  <c r="K23" i="55"/>
  <c r="D34" i="14"/>
  <c r="L23" i="55"/>
  <c r="B95" i="57"/>
  <c r="B73" i="57"/>
  <c r="H73" i="57"/>
  <c r="C95" i="57"/>
  <c r="D95" i="57"/>
  <c r="E95" i="57"/>
  <c r="M23" i="55"/>
  <c r="D94" i="61"/>
  <c r="F94" i="61"/>
  <c r="N23" i="55"/>
  <c r="R23" i="55"/>
  <c r="N13" i="9"/>
  <c r="F13" i="90"/>
  <c r="B22" i="55"/>
  <c r="E15" i="2"/>
  <c r="C22" i="55"/>
  <c r="F14" i="3"/>
  <c r="G14" i="3"/>
  <c r="I14" i="3"/>
  <c r="D22" i="55"/>
  <c r="D17" i="35"/>
  <c r="E22" i="55"/>
  <c r="D15" i="4"/>
  <c r="F22" i="55"/>
  <c r="G22" i="55"/>
  <c r="H22" i="55"/>
  <c r="J22" i="55"/>
  <c r="K22" i="55"/>
  <c r="D33" i="14"/>
  <c r="L22" i="55"/>
  <c r="B94" i="57"/>
  <c r="B72" i="57"/>
  <c r="H72" i="57"/>
  <c r="C94" i="57"/>
  <c r="D94" i="57"/>
  <c r="E94" i="57"/>
  <c r="M22" i="55"/>
  <c r="D93" i="61"/>
  <c r="F93" i="61"/>
  <c r="N22" i="55"/>
  <c r="R22" i="55"/>
  <c r="N12" i="9"/>
  <c r="F12" i="90"/>
  <c r="B21" i="55"/>
  <c r="E14" i="2"/>
  <c r="C21" i="55"/>
  <c r="G13" i="3"/>
  <c r="I13" i="3"/>
  <c r="D21" i="55"/>
  <c r="G21" i="55"/>
  <c r="H21" i="55"/>
  <c r="K21" i="55"/>
  <c r="D32" i="14"/>
  <c r="L21" i="55"/>
  <c r="B93" i="57"/>
  <c r="B71" i="57"/>
  <c r="C71" i="57"/>
  <c r="H71" i="57"/>
  <c r="C93" i="57"/>
  <c r="D93" i="57"/>
  <c r="E93" i="57"/>
  <c r="M21" i="55"/>
  <c r="D92" i="61"/>
  <c r="F92" i="61"/>
  <c r="N21" i="55"/>
  <c r="R21" i="55"/>
  <c r="N11" i="9"/>
  <c r="F11" i="90"/>
  <c r="B20" i="55"/>
  <c r="E13" i="2"/>
  <c r="C20" i="55"/>
  <c r="G12" i="3"/>
  <c r="I12" i="3"/>
  <c r="D20" i="55"/>
  <c r="G20" i="55"/>
  <c r="H20" i="55"/>
  <c r="K20" i="55"/>
  <c r="D31" i="14"/>
  <c r="L20" i="55"/>
  <c r="B92" i="57"/>
  <c r="B70" i="57"/>
  <c r="C70" i="57"/>
  <c r="H70" i="57"/>
  <c r="C92" i="57"/>
  <c r="D92" i="57"/>
  <c r="E92" i="57"/>
  <c r="M20" i="55"/>
  <c r="D91" i="61"/>
  <c r="F91" i="61"/>
  <c r="N20" i="55"/>
  <c r="R20" i="55"/>
  <c r="N10" i="9"/>
  <c r="F10" i="90"/>
  <c r="C9" i="90"/>
  <c r="D9" i="90"/>
  <c r="B9" i="55"/>
  <c r="A14" i="55"/>
  <c r="A15" i="55"/>
  <c r="A16" i="55"/>
  <c r="A17" i="55"/>
  <c r="C9" i="55"/>
  <c r="D9" i="55"/>
  <c r="A18" i="55"/>
  <c r="A19" i="55"/>
  <c r="A20" i="55"/>
  <c r="A21" i="55"/>
  <c r="A22" i="55"/>
  <c r="E9" i="55"/>
  <c r="F9" i="55"/>
  <c r="G9" i="55"/>
  <c r="H9" i="55"/>
  <c r="I9" i="55"/>
  <c r="J9" i="55"/>
  <c r="K9" i="55"/>
  <c r="L9" i="55"/>
  <c r="M9" i="55"/>
  <c r="N9" i="55"/>
  <c r="A23" i="55"/>
  <c r="A24" i="55"/>
  <c r="A25" i="55"/>
  <c r="A26" i="55"/>
  <c r="O9" i="55"/>
  <c r="P9" i="55"/>
  <c r="A27" i="55"/>
  <c r="A28" i="55"/>
  <c r="Q9" i="55"/>
  <c r="R9" i="55"/>
  <c r="S9" i="55"/>
  <c r="T9" i="55"/>
  <c r="U9" i="55"/>
  <c r="V9" i="55"/>
  <c r="W9" i="55"/>
  <c r="X9" i="55"/>
  <c r="Y9" i="55"/>
  <c r="Z9" i="55"/>
  <c r="AA9" i="55"/>
  <c r="AB9" i="55"/>
  <c r="AC9" i="55"/>
  <c r="AD9" i="55"/>
  <c r="AE9" i="55"/>
  <c r="AF9" i="55"/>
  <c r="AG9" i="55"/>
  <c r="D18" i="90"/>
  <c r="C18" i="90"/>
  <c r="D17" i="90"/>
  <c r="C17" i="90"/>
  <c r="D16" i="90"/>
  <c r="C16" i="90"/>
  <c r="D15" i="90"/>
  <c r="C15" i="90"/>
  <c r="D14" i="90"/>
  <c r="C14" i="90"/>
  <c r="D13" i="90"/>
  <c r="C13" i="90"/>
  <c r="D12" i="90"/>
  <c r="C12" i="90"/>
  <c r="D11" i="90"/>
  <c r="C11" i="90"/>
  <c r="D10" i="90"/>
  <c r="C10" i="90"/>
  <c r="B11" i="55"/>
  <c r="C11" i="55"/>
  <c r="D11" i="55"/>
  <c r="E11" i="55"/>
  <c r="F11" i="55"/>
  <c r="G11" i="55"/>
  <c r="H11" i="55"/>
  <c r="I11" i="55"/>
  <c r="J11" i="55"/>
  <c r="K11" i="55"/>
  <c r="L11" i="55"/>
  <c r="M11" i="55"/>
  <c r="N11" i="55"/>
  <c r="O11" i="55"/>
  <c r="P11" i="55"/>
  <c r="Q11" i="55"/>
  <c r="R11" i="55"/>
  <c r="S11" i="55"/>
  <c r="T11" i="55"/>
  <c r="U11" i="55"/>
  <c r="V11" i="55"/>
  <c r="W11" i="55"/>
  <c r="X11" i="55"/>
  <c r="Y11" i="55"/>
  <c r="Z11" i="55"/>
  <c r="AA11" i="55"/>
  <c r="AB11" i="55"/>
  <c r="AC11" i="55"/>
  <c r="AD11" i="55"/>
  <c r="AE11" i="55"/>
  <c r="AF11" i="55"/>
  <c r="AG11" i="55"/>
  <c r="D36" i="55"/>
  <c r="D37" i="55"/>
  <c r="D38" i="55"/>
  <c r="D39" i="55"/>
  <c r="C37" i="55"/>
  <c r="C38" i="55"/>
  <c r="C39" i="55"/>
  <c r="B35" i="55"/>
  <c r="B36" i="55"/>
  <c r="B37" i="55"/>
  <c r="B38" i="55"/>
  <c r="B39" i="55"/>
  <c r="E39" i="55"/>
  <c r="E46" i="55"/>
  <c r="D46" i="55"/>
  <c r="C46" i="55"/>
  <c r="B46" i="55"/>
  <c r="E38" i="55"/>
  <c r="E45" i="55"/>
  <c r="D45" i="55"/>
  <c r="C45" i="55"/>
  <c r="B45" i="55"/>
  <c r="E37" i="55"/>
  <c r="E44" i="55"/>
  <c r="D44" i="55"/>
  <c r="C44" i="55"/>
  <c r="B44" i="55"/>
  <c r="E36" i="55"/>
  <c r="E43" i="55"/>
  <c r="D43" i="55"/>
  <c r="C43" i="55"/>
  <c r="B43" i="55"/>
  <c r="E35" i="55"/>
  <c r="E42" i="55"/>
  <c r="D42" i="55"/>
  <c r="C42" i="55"/>
  <c r="B42" i="55"/>
  <c r="B10" i="55"/>
  <c r="C10" i="55"/>
  <c r="D10" i="55"/>
  <c r="E10" i="55"/>
  <c r="F10" i="55"/>
  <c r="G10" i="55"/>
  <c r="H10" i="55"/>
  <c r="I10" i="55"/>
  <c r="J10" i="55"/>
  <c r="K10" i="55"/>
  <c r="L10" i="55"/>
  <c r="M10" i="55"/>
  <c r="N10" i="55"/>
  <c r="O10" i="55"/>
  <c r="P10" i="55"/>
  <c r="Q10" i="55"/>
  <c r="R10" i="55"/>
  <c r="S10" i="55"/>
  <c r="T10" i="55"/>
  <c r="U10" i="55"/>
  <c r="V10" i="55"/>
  <c r="W10" i="55"/>
  <c r="X10" i="55"/>
  <c r="Y10" i="55"/>
  <c r="Z10" i="55"/>
  <c r="AA10" i="55"/>
  <c r="AB10" i="55"/>
  <c r="AC10" i="55"/>
  <c r="AD10" i="55"/>
  <c r="AE10" i="55"/>
  <c r="AF10" i="55"/>
  <c r="AG10" i="55"/>
  <c r="AL28" i="55"/>
  <c r="F38" i="55"/>
  <c r="AK28" i="55"/>
  <c r="F37" i="55"/>
  <c r="AJ28" i="55"/>
  <c r="F36" i="55"/>
  <c r="AI28" i="55"/>
  <c r="F35" i="55"/>
  <c r="E40" i="55"/>
  <c r="AQ28" i="55"/>
  <c r="D40" i="55"/>
  <c r="AP28" i="55"/>
  <c r="C40" i="55"/>
  <c r="AO28" i="55"/>
  <c r="B40" i="55"/>
  <c r="AR28" i="55"/>
  <c r="AO27" i="55"/>
  <c r="AP27" i="55"/>
  <c r="AQ27" i="55"/>
  <c r="AH27" i="55"/>
  <c r="AR27" i="55"/>
  <c r="AO26" i="55"/>
  <c r="AP26" i="55"/>
  <c r="AQ26" i="55"/>
  <c r="AH26" i="55"/>
  <c r="AR26" i="55"/>
  <c r="AO25" i="55"/>
  <c r="AP25" i="55"/>
  <c r="AQ25" i="55"/>
  <c r="AH25" i="55"/>
  <c r="AR25" i="55"/>
  <c r="AO24" i="55"/>
  <c r="AP24" i="55"/>
  <c r="AQ24" i="55"/>
  <c r="AH24" i="55"/>
  <c r="AR24" i="55"/>
  <c r="AO23" i="55"/>
  <c r="AP23" i="55"/>
  <c r="AQ23" i="55"/>
  <c r="AH23" i="55"/>
  <c r="AR23" i="55"/>
  <c r="AO22" i="55"/>
  <c r="AP22" i="55"/>
  <c r="AQ22" i="55"/>
  <c r="AH22" i="55"/>
  <c r="AR22" i="55"/>
  <c r="AO21" i="55"/>
  <c r="AP21" i="55"/>
  <c r="AQ21" i="55"/>
  <c r="AH21" i="55"/>
  <c r="AR21" i="55"/>
  <c r="AO20" i="55"/>
  <c r="AP20" i="55"/>
  <c r="AQ20" i="55"/>
  <c r="AH20" i="55"/>
  <c r="AR20" i="55"/>
  <c r="B19" i="55"/>
  <c r="E12" i="2"/>
  <c r="C19" i="55"/>
  <c r="G11" i="3"/>
  <c r="I11" i="3"/>
  <c r="D19" i="55"/>
  <c r="G19" i="55"/>
  <c r="AO19" i="55"/>
  <c r="R19" i="55"/>
  <c r="AP19" i="55"/>
  <c r="AQ19" i="55"/>
  <c r="AH19" i="55"/>
  <c r="AR19" i="55"/>
  <c r="B18" i="55"/>
  <c r="E11" i="2"/>
  <c r="C18" i="55"/>
  <c r="G10" i="3"/>
  <c r="I10" i="3"/>
  <c r="D18" i="55"/>
  <c r="G18" i="55"/>
  <c r="AO18" i="55"/>
  <c r="R18" i="55"/>
  <c r="AP18" i="55"/>
  <c r="AQ18" i="55"/>
  <c r="AH18" i="55"/>
  <c r="AR18" i="55"/>
  <c r="B17" i="55"/>
  <c r="E10" i="2"/>
  <c r="C17" i="55"/>
  <c r="G9" i="3"/>
  <c r="I9" i="3"/>
  <c r="D17" i="55"/>
  <c r="AO17" i="55"/>
  <c r="R17" i="55"/>
  <c r="AP17" i="55"/>
  <c r="AQ17" i="55"/>
  <c r="AH17" i="55"/>
  <c r="AR17" i="55"/>
  <c r="B16" i="55"/>
  <c r="AO16" i="55"/>
  <c r="R16" i="55"/>
  <c r="AP16" i="55"/>
  <c r="AQ16" i="55"/>
  <c r="AH16" i="55"/>
  <c r="AR16" i="55"/>
  <c r="B15" i="55"/>
  <c r="AO15" i="55"/>
  <c r="R15" i="55"/>
  <c r="AP15" i="55"/>
  <c r="AQ15" i="55"/>
  <c r="AH15" i="55"/>
  <c r="AR15" i="55"/>
  <c r="B14" i="55"/>
  <c r="AO14" i="55"/>
  <c r="R14" i="55"/>
  <c r="AP14" i="55"/>
  <c r="AQ14" i="55"/>
  <c r="AH14" i="55"/>
  <c r="AR14" i="55"/>
  <c r="B13" i="55"/>
  <c r="AO13" i="55"/>
  <c r="R13" i="55"/>
  <c r="AP13" i="55"/>
  <c r="AQ13" i="55"/>
  <c r="AH13" i="55"/>
  <c r="AR13" i="55"/>
  <c r="A8" i="30"/>
  <c r="B8" i="30"/>
  <c r="C8" i="30"/>
  <c r="D8" i="30"/>
  <c r="L8" i="56"/>
  <c r="E8" i="30"/>
  <c r="G10" i="56"/>
  <c r="G11" i="56"/>
  <c r="G12" i="56"/>
  <c r="G13" i="56"/>
  <c r="G14" i="56"/>
  <c r="G15" i="56"/>
  <c r="L15" i="56"/>
  <c r="L14" i="56"/>
  <c r="L13" i="56"/>
  <c r="L12" i="56"/>
  <c r="L11" i="56"/>
  <c r="L10" i="56"/>
  <c r="L9" i="56"/>
  <c r="K8" i="56"/>
  <c r="K9" i="56"/>
  <c r="K15" i="56"/>
  <c r="K14" i="56"/>
  <c r="K13" i="56"/>
  <c r="K12" i="56"/>
  <c r="K11" i="56"/>
  <c r="K10" i="56"/>
  <c r="J8" i="56"/>
  <c r="J15" i="56"/>
  <c r="J14" i="56"/>
  <c r="J13" i="56"/>
  <c r="J12" i="56"/>
  <c r="J11" i="56"/>
  <c r="J10" i="56"/>
  <c r="J9" i="56"/>
  <c r="I15" i="56"/>
  <c r="I14" i="56"/>
  <c r="I13" i="56"/>
  <c r="I12" i="56"/>
  <c r="I11" i="56"/>
  <c r="I10" i="56"/>
  <c r="I9" i="56"/>
  <c r="H15" i="56"/>
  <c r="H14" i="56"/>
  <c r="H13" i="56"/>
  <c r="H12" i="56"/>
  <c r="H11" i="56"/>
  <c r="H10" i="56"/>
  <c r="H9" i="56"/>
  <c r="C8" i="55"/>
  <c r="D8" i="55"/>
  <c r="E8" i="55"/>
  <c r="F8" i="55"/>
  <c r="G8" i="55"/>
  <c r="H8" i="55"/>
  <c r="I8" i="55"/>
  <c r="J8" i="55"/>
  <c r="K8" i="55"/>
  <c r="L8" i="55"/>
  <c r="M8" i="55"/>
  <c r="N8" i="55"/>
  <c r="O8" i="55"/>
  <c r="P8" i="55"/>
  <c r="Q8" i="55"/>
  <c r="R8" i="55"/>
  <c r="S8" i="55"/>
  <c r="T8" i="55"/>
  <c r="U8" i="55"/>
  <c r="V8" i="55"/>
  <c r="W8" i="55"/>
  <c r="X8" i="55"/>
  <c r="Y8" i="55"/>
  <c r="Z8" i="55"/>
  <c r="AA8" i="55"/>
  <c r="AB8" i="55"/>
  <c r="AC8" i="55"/>
  <c r="AD8" i="55"/>
  <c r="AE8" i="55"/>
  <c r="AF8" i="55"/>
  <c r="AG8" i="55"/>
  <c r="L18" i="9"/>
  <c r="F8" i="30"/>
  <c r="B9" i="56"/>
  <c r="A11" i="30"/>
  <c r="B11" i="30"/>
  <c r="C11" i="30"/>
  <c r="D11" i="30"/>
  <c r="B51" i="63"/>
  <c r="B61" i="63"/>
  <c r="D41" i="61"/>
  <c r="D42" i="61"/>
  <c r="D43" i="61"/>
  <c r="I110" i="57"/>
  <c r="J110" i="57"/>
  <c r="I109" i="57"/>
  <c r="J109" i="57"/>
  <c r="I108" i="57"/>
  <c r="J108" i="57"/>
  <c r="H9" i="90"/>
  <c r="G9" i="90"/>
  <c r="AM28" i="55"/>
  <c r="AI27" i="55"/>
  <c r="AJ27" i="55"/>
  <c r="AK27" i="55"/>
  <c r="AL27" i="55"/>
  <c r="AM27" i="55"/>
  <c r="AI26" i="55"/>
  <c r="AJ26" i="55"/>
  <c r="AK26" i="55"/>
  <c r="AL26" i="55"/>
  <c r="AM26" i="55"/>
  <c r="AI25" i="55"/>
  <c r="AJ25" i="55"/>
  <c r="AK25" i="55"/>
  <c r="AL25" i="55"/>
  <c r="AM25" i="55"/>
  <c r="AI24" i="55"/>
  <c r="AJ24" i="55"/>
  <c r="AK24" i="55"/>
  <c r="AL24" i="55"/>
  <c r="AM24" i="55"/>
  <c r="AI23" i="55"/>
  <c r="AJ23" i="55"/>
  <c r="AK23" i="55"/>
  <c r="AL23" i="55"/>
  <c r="AM23" i="55"/>
  <c r="AI22" i="55"/>
  <c r="AJ22" i="55"/>
  <c r="AK22" i="55"/>
  <c r="AL22" i="55"/>
  <c r="AM22" i="55"/>
  <c r="AI21" i="55"/>
  <c r="AJ21" i="55"/>
  <c r="AK21" i="55"/>
  <c r="AL21" i="55"/>
  <c r="AM21" i="55"/>
  <c r="AI20" i="55"/>
  <c r="AJ20" i="55"/>
  <c r="AK20" i="55"/>
  <c r="AL20" i="55"/>
  <c r="AM20" i="55"/>
  <c r="AI19" i="55"/>
  <c r="AJ19" i="55"/>
  <c r="AK19" i="55"/>
  <c r="AL19" i="55"/>
  <c r="AM19" i="55"/>
  <c r="AI18" i="55"/>
  <c r="AJ18" i="55"/>
  <c r="AK18" i="55"/>
  <c r="AL18" i="55"/>
  <c r="AM18" i="55"/>
  <c r="AI17" i="55"/>
  <c r="AJ17" i="55"/>
  <c r="AK17" i="55"/>
  <c r="AL17" i="55"/>
  <c r="AM17" i="55"/>
  <c r="AI16" i="55"/>
  <c r="AJ16" i="55"/>
  <c r="AK16" i="55"/>
  <c r="AL16" i="55"/>
  <c r="AM16" i="55"/>
  <c r="AI15" i="55"/>
  <c r="AJ15" i="55"/>
  <c r="AK15" i="55"/>
  <c r="AL15" i="55"/>
  <c r="AM15" i="55"/>
  <c r="AI14" i="55"/>
  <c r="AJ14" i="55"/>
  <c r="AK14" i="55"/>
  <c r="AL14" i="55"/>
  <c r="AM14" i="55"/>
  <c r="AI13" i="55"/>
  <c r="AJ13" i="55"/>
  <c r="AK13" i="55"/>
  <c r="AL13" i="55"/>
  <c r="AM13" i="55"/>
  <c r="E19" i="73"/>
  <c r="A3" i="11"/>
  <c r="E18" i="73"/>
  <c r="A3" i="9"/>
  <c r="E17" i="73"/>
  <c r="A3" i="55"/>
  <c r="E16" i="73"/>
  <c r="A3" i="56"/>
  <c r="E14" i="73"/>
  <c r="A3" i="89"/>
  <c r="E12" i="73"/>
  <c r="A3" i="90"/>
  <c r="E11" i="73"/>
  <c r="A3" i="30"/>
  <c r="E10" i="73"/>
  <c r="A3" i="75"/>
  <c r="E9" i="73"/>
  <c r="A3" i="7"/>
  <c r="E15" i="73"/>
  <c r="E13" i="73"/>
  <c r="E60" i="73"/>
  <c r="A3" i="5"/>
  <c r="E59" i="73"/>
  <c r="A3" i="72"/>
  <c r="E58" i="73"/>
  <c r="A3" i="66"/>
  <c r="E57" i="73"/>
  <c r="A3" i="58"/>
  <c r="A4" i="58"/>
  <c r="E56" i="73"/>
  <c r="A3" i="51"/>
  <c r="E55" i="73"/>
  <c r="A3" i="38"/>
  <c r="E52" i="73"/>
  <c r="A3" i="62"/>
  <c r="E51" i="73"/>
  <c r="A3" i="20"/>
  <c r="E50" i="73"/>
  <c r="A3" i="43"/>
  <c r="E49" i="73"/>
  <c r="A3" i="37"/>
  <c r="E48" i="73"/>
  <c r="A3" i="22"/>
  <c r="E47" i="73"/>
  <c r="A3" i="21"/>
  <c r="E46" i="73"/>
  <c r="A3" i="25"/>
  <c r="E45" i="73"/>
  <c r="A3" i="19"/>
  <c r="E42" i="73"/>
  <c r="A3" i="63"/>
  <c r="E41" i="73"/>
  <c r="A3" i="68"/>
  <c r="E39" i="73"/>
  <c r="A3" i="26"/>
  <c r="E38" i="73"/>
  <c r="A3" i="69"/>
  <c r="E37" i="73"/>
  <c r="A3" i="15"/>
  <c r="E36" i="73"/>
  <c r="A3" i="14"/>
  <c r="E35" i="73"/>
  <c r="A3" i="61"/>
  <c r="E34" i="73"/>
  <c r="A3" i="57"/>
  <c r="A4" i="36"/>
  <c r="E33" i="73"/>
  <c r="A3" i="36"/>
  <c r="E32" i="73"/>
  <c r="A3" i="42"/>
  <c r="E31" i="73"/>
  <c r="A3" i="70"/>
  <c r="E30" i="73"/>
  <c r="A3" i="41"/>
  <c r="E27" i="73"/>
  <c r="A3" i="8"/>
  <c r="E26" i="73"/>
  <c r="A3" i="2"/>
  <c r="E25" i="73"/>
  <c r="A3" i="35"/>
  <c r="E24" i="73"/>
  <c r="A3" i="4"/>
  <c r="E23" i="73"/>
  <c r="A3" i="3"/>
  <c r="E22" i="73"/>
  <c r="A3" i="1"/>
  <c r="A4" i="72"/>
  <c r="A4" i="66"/>
  <c r="A4" i="51"/>
  <c r="A4" i="38"/>
  <c r="A4" i="62"/>
  <c r="A4" i="20"/>
  <c r="A4" i="43"/>
  <c r="A4" i="37"/>
  <c r="A4" i="22"/>
  <c r="A4" i="21"/>
  <c r="A4" i="25"/>
  <c r="A4" i="19"/>
  <c r="A4" i="63"/>
  <c r="A4" i="68"/>
  <c r="A4" i="26"/>
  <c r="A4" i="69"/>
  <c r="A4" i="15"/>
  <c r="A4" i="14"/>
  <c r="A4" i="61"/>
  <c r="A4" i="57"/>
  <c r="A4" i="42"/>
  <c r="A4" i="70"/>
  <c r="A4" i="5"/>
  <c r="A4" i="41"/>
  <c r="A4" i="8"/>
  <c r="A4" i="2"/>
  <c r="A4" i="35"/>
  <c r="A4" i="4"/>
  <c r="A4" i="3"/>
  <c r="A4" i="1"/>
  <c r="A5" i="72"/>
  <c r="A5" i="66"/>
  <c r="A5" i="58"/>
  <c r="A5" i="51"/>
  <c r="A5" i="38"/>
  <c r="A5" i="62"/>
  <c r="A5" i="20"/>
  <c r="A5" i="43"/>
  <c r="A5" i="37"/>
  <c r="A5" i="22"/>
  <c r="A5" i="21"/>
  <c r="A5" i="25"/>
  <c r="A5" i="19"/>
  <c r="A5" i="63"/>
  <c r="A5" i="68"/>
  <c r="A5" i="26"/>
  <c r="A5" i="69"/>
  <c r="A5" i="15"/>
  <c r="A5" i="14"/>
  <c r="A5" i="61"/>
  <c r="A5" i="57"/>
  <c r="A5" i="36"/>
  <c r="A5" i="42"/>
  <c r="A5" i="70"/>
  <c r="A5" i="5"/>
  <c r="A5" i="41"/>
  <c r="A5" i="8"/>
  <c r="A5" i="2"/>
  <c r="A5" i="35"/>
  <c r="A5" i="4"/>
  <c r="A5" i="3"/>
  <c r="D44" i="73"/>
  <c r="D54" i="73"/>
  <c r="D29" i="73"/>
  <c r="E53" i="73"/>
  <c r="C14" i="30"/>
  <c r="D62" i="73"/>
  <c r="H17" i="90"/>
  <c r="H16" i="90"/>
  <c r="H15" i="90"/>
  <c r="H14" i="90"/>
  <c r="H13" i="90"/>
  <c r="H12" i="90"/>
  <c r="H18" i="90"/>
  <c r="G18" i="90"/>
  <c r="G17" i="90"/>
  <c r="G16" i="90"/>
  <c r="G15" i="90"/>
  <c r="G14" i="90"/>
  <c r="G13" i="90"/>
  <c r="G12" i="90"/>
  <c r="G11" i="90"/>
  <c r="G10" i="90"/>
  <c r="F8" i="56"/>
  <c r="A10" i="56"/>
  <c r="A11" i="56"/>
  <c r="A12" i="56"/>
  <c r="A13" i="56"/>
  <c r="A14" i="56"/>
  <c r="A15" i="56"/>
  <c r="F15" i="56"/>
  <c r="F14" i="56"/>
  <c r="F13" i="56"/>
  <c r="F12" i="56"/>
  <c r="F11" i="56"/>
  <c r="F10" i="56"/>
  <c r="F9" i="56"/>
  <c r="E8" i="56"/>
  <c r="E15" i="56"/>
  <c r="E14" i="56"/>
  <c r="E13" i="56"/>
  <c r="E12" i="56"/>
  <c r="E11" i="56"/>
  <c r="E10" i="56"/>
  <c r="E9" i="56"/>
  <c r="D8" i="56"/>
  <c r="D15" i="56"/>
  <c r="D14" i="56"/>
  <c r="D13" i="56"/>
  <c r="D12" i="56"/>
  <c r="D11" i="56"/>
  <c r="D10" i="56"/>
  <c r="D9" i="56"/>
  <c r="C15" i="56"/>
  <c r="C14" i="56"/>
  <c r="C13" i="56"/>
  <c r="C12" i="56"/>
  <c r="C11" i="56"/>
  <c r="C10" i="56"/>
  <c r="C9" i="56"/>
  <c r="B15" i="56"/>
  <c r="B14" i="56"/>
  <c r="B13" i="56"/>
  <c r="B12" i="56"/>
  <c r="B11" i="56"/>
  <c r="B10" i="56"/>
  <c r="D14" i="30"/>
  <c r="B14" i="30"/>
  <c r="A14" i="30"/>
  <c r="E84" i="20"/>
  <c r="E85" i="20"/>
  <c r="E86" i="20"/>
  <c r="E87" i="20"/>
  <c r="E88" i="20"/>
  <c r="E89" i="20"/>
  <c r="E90" i="20"/>
  <c r="E91" i="20"/>
  <c r="E92" i="20"/>
  <c r="E93" i="20"/>
  <c r="E94" i="20"/>
  <c r="E95" i="20"/>
  <c r="E120" i="20"/>
  <c r="D84" i="20"/>
  <c r="D85" i="20"/>
  <c r="D86" i="20"/>
  <c r="D87" i="20"/>
  <c r="D88" i="20"/>
  <c r="D89" i="20"/>
  <c r="D90" i="20"/>
  <c r="D91" i="20"/>
  <c r="D92" i="20"/>
  <c r="D93" i="20"/>
  <c r="D94" i="20"/>
  <c r="D95" i="20"/>
  <c r="D120" i="20"/>
  <c r="C84" i="20"/>
  <c r="C85" i="20"/>
  <c r="C86" i="20"/>
  <c r="C87" i="20"/>
  <c r="C88" i="20"/>
  <c r="C89" i="20"/>
  <c r="C90" i="20"/>
  <c r="C91" i="20"/>
  <c r="C92" i="20"/>
  <c r="C93" i="20"/>
  <c r="C94" i="20"/>
  <c r="C95" i="20"/>
  <c r="C120" i="20"/>
  <c r="B87" i="20"/>
  <c r="B120" i="20"/>
  <c r="F120" i="20"/>
  <c r="G120" i="20"/>
  <c r="K120" i="20"/>
  <c r="J120" i="20"/>
  <c r="I120" i="20"/>
  <c r="H120" i="20"/>
  <c r="O120" i="20"/>
  <c r="N120" i="20"/>
  <c r="M120" i="20"/>
  <c r="L120" i="20"/>
  <c r="B53" i="36"/>
  <c r="B42" i="36"/>
  <c r="B41" i="36"/>
  <c r="B40" i="36"/>
  <c r="B39" i="36"/>
  <c r="B43" i="36"/>
  <c r="D67" i="73"/>
  <c r="D68" i="73"/>
  <c r="D66" i="73"/>
  <c r="B29" i="11"/>
  <c r="B18" i="9"/>
  <c r="C25" i="1"/>
  <c r="D25" i="1"/>
  <c r="D28" i="11"/>
  <c r="D29" i="11"/>
  <c r="B17" i="9"/>
  <c r="A35" i="14"/>
  <c r="A36" i="14"/>
  <c r="A37" i="14"/>
  <c r="A38" i="14"/>
  <c r="A39" i="14"/>
  <c r="B1736" i="22"/>
  <c r="E1736" i="22"/>
  <c r="B1735" i="22"/>
  <c r="E1735" i="22"/>
  <c r="D1736" i="22"/>
  <c r="D1735" i="22"/>
  <c r="B1724" i="22"/>
  <c r="D1716" i="22"/>
  <c r="D1714" i="22"/>
  <c r="D1711" i="22"/>
  <c r="D1712" i="22"/>
  <c r="D1717" i="22"/>
  <c r="D1720" i="22"/>
  <c r="D1724" i="22"/>
  <c r="B1029" i="21"/>
  <c r="B1053" i="21"/>
  <c r="D1040" i="21"/>
  <c r="D1041" i="21"/>
  <c r="D1046" i="21"/>
  <c r="D1047" i="21"/>
  <c r="D1048" i="21"/>
  <c r="D1049" i="21"/>
  <c r="D1053" i="21"/>
  <c r="D1059" i="19"/>
  <c r="D1061" i="19"/>
  <c r="D1063" i="19"/>
  <c r="D1077" i="19"/>
  <c r="B1078" i="19"/>
  <c r="B1077" i="19"/>
  <c r="D1675" i="22"/>
  <c r="H109" i="57"/>
  <c r="H108" i="57"/>
  <c r="F77" i="57"/>
  <c r="F76" i="57"/>
  <c r="F74" i="57"/>
  <c r="F73" i="57"/>
  <c r="F72" i="57"/>
  <c r="F71" i="57"/>
  <c r="F70" i="57"/>
  <c r="E71" i="57"/>
  <c r="E70" i="57"/>
  <c r="E72" i="57"/>
  <c r="E74" i="57"/>
  <c r="E73" i="57"/>
  <c r="D40" i="57"/>
  <c r="D41" i="57"/>
  <c r="D39" i="57"/>
  <c r="D38" i="57"/>
  <c r="D45" i="57"/>
  <c r="D44" i="57"/>
  <c r="D43" i="57"/>
  <c r="D42" i="57"/>
  <c r="D37" i="57"/>
  <c r="C96" i="61"/>
  <c r="C95" i="61"/>
  <c r="B91" i="61"/>
  <c r="B92" i="61"/>
  <c r="B93" i="61"/>
  <c r="B94" i="61"/>
  <c r="B96" i="61"/>
  <c r="B95" i="61"/>
  <c r="K70" i="61"/>
  <c r="K69" i="61"/>
  <c r="K68" i="61"/>
  <c r="K67" i="61"/>
  <c r="K66" i="61"/>
  <c r="K65" i="61"/>
  <c r="K64" i="61"/>
  <c r="K63" i="61"/>
  <c r="K62" i="61"/>
  <c r="K61" i="61"/>
  <c r="K60" i="61"/>
  <c r="K59" i="61"/>
  <c r="K58" i="61"/>
  <c r="K57" i="61"/>
  <c r="K56" i="61"/>
  <c r="K55" i="61"/>
  <c r="I18" i="9"/>
  <c r="N81" i="11"/>
  <c r="L81" i="11"/>
  <c r="J81" i="11"/>
  <c r="H81" i="11"/>
  <c r="F29" i="11"/>
  <c r="B80" i="11"/>
  <c r="B81" i="11"/>
  <c r="D81" i="11"/>
  <c r="D16" i="35"/>
  <c r="D15" i="35"/>
  <c r="A22" i="35"/>
  <c r="A21" i="35"/>
  <c r="A20" i="35"/>
  <c r="A19" i="35"/>
  <c r="A18" i="35"/>
  <c r="A17" i="35"/>
  <c r="A16" i="35"/>
  <c r="A15" i="35"/>
  <c r="A14" i="35"/>
  <c r="A13" i="35"/>
  <c r="A12" i="35"/>
  <c r="A11" i="35"/>
  <c r="A10" i="35"/>
  <c r="A18" i="8"/>
  <c r="A17" i="8"/>
  <c r="A16" i="8"/>
  <c r="A15" i="8"/>
  <c r="A14" i="8"/>
  <c r="A13" i="8"/>
  <c r="A19" i="3"/>
  <c r="A18" i="3"/>
  <c r="A17" i="3"/>
  <c r="A16" i="3"/>
  <c r="A15" i="3"/>
  <c r="A14" i="3"/>
  <c r="A13" i="3"/>
  <c r="A12" i="3"/>
  <c r="A11" i="3"/>
  <c r="A10" i="3"/>
  <c r="A9" i="3"/>
  <c r="F1084" i="19"/>
  <c r="F1083" i="19"/>
  <c r="D1044" i="19"/>
  <c r="P28" i="11"/>
  <c r="D18" i="9"/>
  <c r="E18" i="9"/>
  <c r="D16" i="9"/>
  <c r="B15" i="9"/>
  <c r="B14" i="9"/>
  <c r="B13" i="9"/>
  <c r="D13" i="9"/>
  <c r="C13" i="9"/>
  <c r="B12" i="9"/>
  <c r="D12" i="9"/>
  <c r="E12" i="9"/>
  <c r="B11" i="9"/>
  <c r="B10" i="9"/>
  <c r="A25" i="15"/>
  <c r="A26" i="15"/>
  <c r="A27" i="15"/>
  <c r="A28" i="15"/>
  <c r="A29" i="15"/>
  <c r="A30" i="15"/>
  <c r="A31" i="15"/>
  <c r="P17" i="9"/>
  <c r="P16" i="9"/>
  <c r="P15" i="9"/>
  <c r="P14" i="9"/>
  <c r="P13" i="9"/>
  <c r="P12" i="9"/>
  <c r="P11" i="9"/>
  <c r="P18" i="9"/>
  <c r="O17" i="9"/>
  <c r="AD17" i="9"/>
  <c r="O16" i="9"/>
  <c r="T16" i="9"/>
  <c r="O15" i="9"/>
  <c r="T15" i="9"/>
  <c r="O14" i="9"/>
  <c r="O13" i="9"/>
  <c r="AD13" i="9"/>
  <c r="O12" i="9"/>
  <c r="O11" i="9"/>
  <c r="O18" i="9"/>
  <c r="AD18" i="9"/>
  <c r="I17" i="9"/>
  <c r="D17" i="9"/>
  <c r="C17" i="9"/>
  <c r="I16" i="9"/>
  <c r="I15" i="9"/>
  <c r="I14" i="9"/>
  <c r="D14" i="9"/>
  <c r="K14" i="9"/>
  <c r="I13" i="9"/>
  <c r="K13" i="9"/>
  <c r="I12" i="9"/>
  <c r="G12" i="9"/>
  <c r="J12" i="9"/>
  <c r="I11" i="9"/>
  <c r="AD16" i="9"/>
  <c r="AD14" i="9"/>
  <c r="X18" i="9"/>
  <c r="X17" i="9"/>
  <c r="G17" i="9"/>
  <c r="J17" i="9"/>
  <c r="X16" i="9"/>
  <c r="G16" i="9"/>
  <c r="Z16" i="9"/>
  <c r="X15" i="9"/>
  <c r="G15" i="9"/>
  <c r="Z15" i="9"/>
  <c r="J15" i="9"/>
  <c r="G14" i="9"/>
  <c r="X13" i="9"/>
  <c r="G13" i="9"/>
  <c r="Z13" i="9"/>
  <c r="X12" i="9"/>
  <c r="Z12" i="9"/>
  <c r="U15" i="9"/>
  <c r="W15" i="9"/>
  <c r="F53" i="11"/>
  <c r="U16" i="9"/>
  <c r="W16" i="9"/>
  <c r="U17" i="9"/>
  <c r="U18" i="9"/>
  <c r="W18" i="9"/>
  <c r="T18" i="9"/>
  <c r="P10" i="9"/>
  <c r="O10" i="9"/>
  <c r="L11" i="9"/>
  <c r="M10" i="9"/>
  <c r="L10" i="9"/>
  <c r="M11" i="9"/>
  <c r="M12" i="9"/>
  <c r="L12" i="9"/>
  <c r="M13" i="9"/>
  <c r="L13" i="9"/>
  <c r="M14" i="9"/>
  <c r="L14" i="9"/>
  <c r="M15" i="9"/>
  <c r="L15" i="9"/>
  <c r="M16" i="9"/>
  <c r="L16" i="9"/>
  <c r="M17" i="9"/>
  <c r="L17" i="9"/>
  <c r="M18" i="9"/>
  <c r="H18" i="9"/>
  <c r="H17" i="9"/>
  <c r="H16" i="9"/>
  <c r="H15" i="9"/>
  <c r="H14" i="9"/>
  <c r="H13" i="9"/>
  <c r="H12" i="9"/>
  <c r="D15" i="9"/>
  <c r="C15" i="9"/>
  <c r="C14" i="9"/>
  <c r="E13" i="9"/>
  <c r="D11" i="9"/>
  <c r="I10" i="9"/>
  <c r="D10" i="9"/>
  <c r="C10" i="9"/>
  <c r="G11" i="9"/>
  <c r="J11" i="9"/>
  <c r="G10" i="9"/>
  <c r="H11" i="9"/>
  <c r="H10" i="9"/>
  <c r="E10" i="9"/>
  <c r="S99" i="11"/>
  <c r="Q99" i="11"/>
  <c r="O99" i="11"/>
  <c r="M99" i="11"/>
  <c r="K99" i="11"/>
  <c r="I99" i="11"/>
  <c r="G99" i="11"/>
  <c r="E99" i="11"/>
  <c r="C99" i="11"/>
  <c r="M56" i="11"/>
  <c r="K56" i="11"/>
  <c r="I53" i="11"/>
  <c r="I56" i="11"/>
  <c r="H56" i="11"/>
  <c r="F56" i="11"/>
  <c r="A11" i="9"/>
  <c r="A12" i="9"/>
  <c r="A13" i="9"/>
  <c r="A14" i="9"/>
  <c r="A15" i="9"/>
  <c r="A16" i="9"/>
  <c r="A17" i="9"/>
  <c r="A18" i="9"/>
  <c r="N28" i="11"/>
  <c r="L28" i="11"/>
  <c r="G28" i="11"/>
  <c r="E13" i="3"/>
  <c r="A11" i="2"/>
  <c r="A12" i="2"/>
  <c r="A13" i="2"/>
  <c r="A14" i="2"/>
  <c r="A15" i="2"/>
  <c r="A16" i="2"/>
  <c r="A17" i="2"/>
  <c r="A18" i="2"/>
  <c r="A19" i="2"/>
  <c r="A20" i="2"/>
  <c r="A21" i="2"/>
  <c r="A11" i="1"/>
  <c r="A12" i="1"/>
  <c r="A13" i="1"/>
  <c r="A14" i="1"/>
  <c r="A15" i="1"/>
  <c r="A16" i="1"/>
  <c r="A17" i="1"/>
  <c r="A18" i="1"/>
  <c r="A19" i="1"/>
  <c r="A20" i="1"/>
  <c r="A21" i="1"/>
  <c r="A22" i="1"/>
  <c r="A23" i="1"/>
  <c r="A24" i="1"/>
  <c r="A25" i="1"/>
  <c r="J16" i="9"/>
  <c r="E14" i="9"/>
  <c r="C18" i="9"/>
  <c r="C12" i="9"/>
  <c r="K16" i="9"/>
  <c r="K18" i="9"/>
  <c r="D56" i="11"/>
  <c r="E15" i="9"/>
  <c r="AD15" i="9"/>
  <c r="K12" i="9"/>
  <c r="K15" i="9"/>
  <c r="Z14" i="9"/>
  <c r="F81" i="11"/>
  <c r="B16" i="9"/>
  <c r="J13" i="9"/>
  <c r="E16" i="9"/>
  <c r="C16" i="9"/>
  <c r="K11" i="9"/>
  <c r="C11" i="9"/>
  <c r="K17" i="9"/>
  <c r="J18" i="9"/>
  <c r="W17" i="9"/>
  <c r="E17" i="9"/>
  <c r="E11" i="9"/>
  <c r="T17" i="9"/>
  <c r="K10" i="9"/>
  <c r="J10" i="9"/>
  <c r="B56" i="11"/>
  <c r="B31" i="11"/>
  <c r="Z17" i="9"/>
  <c r="J14" i="9"/>
  <c r="Z18" i="9"/>
  <c r="A5" i="1"/>
</calcChain>
</file>

<file path=xl/sharedStrings.xml><?xml version="1.0" encoding="utf-8"?>
<sst xmlns="http://schemas.openxmlformats.org/spreadsheetml/2006/main" count="5940" uniqueCount="3573">
  <si>
    <t>Year</t>
  </si>
  <si>
    <t>Qualcomm Source</t>
  </si>
  <si>
    <t>Notes</t>
  </si>
  <si>
    <t>From sales of patents on 802.11 to Intel</t>
  </si>
  <si>
    <t>Licensing Revenues jumped because of resolution of licensing disputes with Nokia and Panasonic, of $253m and $12m, respectively</t>
  </si>
  <si>
    <t>Nokia</t>
  </si>
  <si>
    <t>Source</t>
  </si>
  <si>
    <t>Euro-Dollar exchange rate at year end</t>
  </si>
  <si>
    <t>Nokia Form 20-F, 2015, page 8</t>
  </si>
  <si>
    <t>The Group has two businesses: Nokia Networks and Nokia Technologies; and three operating and reportable segments in its Continuing
operations for financial reporting purposes: Mobile Broadband and Global Services within Nokia Networks, and Nokia Technologies.  Nokia's patent licensing revenue is reported as the income of Nokia Technologies.  Its non-patent licensing buisness is reported as Nokia Networks. As of 2002, revenues are in Euros.  Nokia Technologies’ net sales for the year
increased 77% to EUR 1.02 billion as a result
of revenue stemming from the positive
outcome of a multi-year patent arbitration
process with Samsung, with operating profit
similarly increasing 110% versus 2014</t>
  </si>
  <si>
    <t>Nokia Form 20F, 2014, page 6.</t>
  </si>
  <si>
    <t xml:space="preserve"> </t>
  </si>
  <si>
    <t>Nokia Form 20F, 2013, page 92</t>
  </si>
  <si>
    <t>Nokia Form 20-F, 2012, page  110</t>
  </si>
  <si>
    <t>As from April 1, 2007, our consolidated financial data includes that of Nokia Siemens Networks on a fully consolidated basis. Nokia Siemens Networks, a company jointly Siemens AG (“Siemens”), is comprised of our formercarrier-related operations for fixed and mobile networks. Accordingly, our consolidated financial data for the year ended December 31, 2007 is not directly comparable to any subsequent years.</t>
  </si>
  <si>
    <t>Nokia, form 20F, 2011, page 118.</t>
  </si>
  <si>
    <t>Includes average run rate of 500 m, plus 450 m in non recurring income. Form 20F 2012, page 110. "Our overall Devices &amp; Services net sales in 2012 benefited from the recognition in Devices &amp; Services Other of approximately EUR 50 million (EUR 450 million in 2011) of non-recurring IPR income. The non-recurring IPR income relates to new patent license agreements for the respective years that included settlements of past royalties and accordingly is not expected to have a recurring benefit."  Form 20F, 2012, p 110, "Within Devices &amp; Services Other, we estimate that our current annual IPR income run-rate is approximately EUR 0.5 billion."  In 2011, entered into production with Microsoft of the Lumia phone.  We are paying Microsoft a software royalty fee to license the Windows Phone smartphone platform, which we record as royalty expense in our Smart Devices cost of goods sold.The Microsoft partnership also recognizes the value of intellectual property and puts in place
mechanisms for exchanging intellectual property rights.  Nokia 20F 2011, page 118. Notes that the 450000 is non recurring.Devices &amp; Services Other includes intellectual property income, net sales of
spare parts and related cost of sales and operating expenses and common research and development
expenses.</t>
  </si>
  <si>
    <t>Form 20F, page f71: "Nokia’s payment obligations under the subscriber unit crosslicense agreements signed in 1992 and 2001 with Qualcomm Incorporated (“Qualcomm”) expired on April 9, 2007. The parties entered into negotiations for a new license agreement with the intention of reaching a mutually acceptable agreement on a timely basis. Prior to the commencement of negotiations and as negotiations proceeded, Nokia and Qualcomm were engaged in numerous legal disputes in the United States, Europe and China. On July 24, 2008 Nokia and Qualcomm entered into a new license agreement covering various current and future standards and other technologies, and resulting in a settlement of all litigation between the companies. Under the terms of the 15 year agreement covering various standards and other technologies, Nokia has been granted a license under all Qualcomm’s patents for use in Nokia’s mobile devices and Nokia Siemens Networks infrastructure equipment, and Nokia has agreed not to use any of its patents directly against Qualcomm. The financial terms included a onetime lumpsum cash payment of EUR 1.7 billion made by Nokia to Qualcomm in the fourth quarter of 2008 and ongoing  royalty payments to Qualcomm. The lumpsum payment made to Qualcomm will be expensed over the term of the agreement. Nokia also agreed to assign ownership of a number of  patents to Qualcomm.</t>
  </si>
  <si>
    <t>We use the "running" estimate from Nokia 20F, 2012, page 110.</t>
  </si>
  <si>
    <t>The Group has two businesses: Nokia Networks and Nokia Technologies; and three operating and reportable segments in its Continuing
operations for financial reporting purposes: Mobile Broadband and Global Services within Nokia Networks, and Nokia Technologies.  Nokia's patent licensing revenue is reported as the income of Nokia Technologies.  Its non-patent licensing buisness is reported as Nokia Networks. As of 2002, revenues are in Euros.</t>
  </si>
  <si>
    <t xml:space="preserve">Form 20F, 2010,page 50: "We receive royalties from certain handset and other vendors under our standard essential patent portfolio.  We are a world leader in the development of the wireless technologies of GSM/EDGE, G/WCDMA, HSPA, LTE, OFDM, WiMAX and TDSCDMA, and we have a robust patent portfolio in all of those technology areas, as well as for CDMA2000. We believe our standards related essential patent portfolio is one of the strongest in the industry. In GSM, we have declared over 320 GSM essential patents with a particular stronghold in codec technologies and in mobile packet data. Our major contribution to WCDMA development is demonstrated by over 430 essential patent declarations 
LTE/SAE Nokia has over 300 essential patent declarations to date. Our CDMA2000 portfolio is robust
with over 160 patents declared essential.  Later paragraph states that they have cross licensing agreements.  Form 20F, 2010, page F42:  "In 2010, prepaid expenses and accrued income included advance payments to Qualcomm of
EUR 1 166 million (1 264 million in 2009). In 2008, Nokia and Qualcomm entered into a new 15 year
agreement, under the terms of which Nokia has been granted a license to all Qualcomm’s patents for
the use in Nokia mobile devices and Nokia Siemens Networks infrastructure equipment. The financial
structure of the agreement included an upfront payment of EUR 1.7 billion, which is amortized over
the contract period and ongoing royalties payable to Qualcomm. As part of the licence agreement,
Nokia also assigned ownership of a number of patents to Qualcomm. These patents were valued
using the income approach based on projected cash flows, on a discounted basis, over the assigned
patents’ estimated useful life. Based on the valuation and underlying assumptions Nokia determined
that the fair value of these patents were not material."
</t>
  </si>
  <si>
    <t>The 70 million is non-recurring.  The 2012 annual report, page 110, mentions that recurring royalty income is about 500 m per year. We receive royalties from certain handset and other vendors under our standard essential patent portfolio. Royalty income isreported under Devices &amp; Services Other. Nokia 20F 2011, page. 59   Our overall Devices &amp; Services net sales in 2011 benefited from the recognition in Devices &amp; Services
Other of approximately EUR 450 million (approximately EUR 70 million in 2010) of non-recurring IPR
royalty income, as well as strong growth in the underlying recurring IPR royalty income, page 118.   We therefore put royalty income at 570m</t>
  </si>
  <si>
    <t>SEK-Dollar exchange rate at year end</t>
  </si>
  <si>
    <t>From Annual Report 2015, page 16. "Ericsson’s IPR (Intellectual Property Rights) portfolio includes both patents and technology know-how. Patent licensing includes giving access to patents for different technology standards, while technology licensing provides specifications for proprietary technologies such as different interfaces.  The Company is a net receiver of royalties, and the royalty-based IPR licensing business is a key element of its growth strategy. As a result of the work of 23,700 R&amp;D engineers and with more than 39,000 patents being granted (and thousands more pending), the Company has one of the broadest and most useful patent portfolios in mobile communication....A major portion of the revenues currently stems from handset manufacturers, but through continued digitalization and the developing IoT (the Internet of Things), the number of new licensees in consumer electronics and industry verticals is expected to increase.  From page 42:  "The IPR strategy, to generate value from
investments in R&amp;D, has been successful and
over the last five years IPR licensing revenues
have more than tripled. IPR revenues were SEK
14.4 (9.9) billion. Ericsson now has agreements
with the majority of handset suppliers."</t>
  </si>
  <si>
    <t>From 2014 Annual Report, page 2.  Ericsson and Samsung reached patent cross license agreements. Annual report 2014, page 27. The Company has created a licensing portfolio,
representing the value of technology
knowhow
and R&amp;D. The portfolio includes both
technology and patent licensing. The defensive
value of the IPR portfolio protects the sales of
Ericsson’s
products and services as cross-licensing
agreements are signed with other
major IPR holders. The offensive value allows
Ericsson to commercialize and obtain a fair
return on the IPR portfolio. Both these values are
direct returns of the investments made in R&amp;D.</t>
  </si>
  <si>
    <t>From 2014 Annual Report, page 43: For 2013, IPR revenues included an initial payment of SEK 4.2 billion
from Samsung for patent licensing</t>
  </si>
  <si>
    <t>Ericsson 2015 Annual Report, page 43and 74; 2014 Annual Report page 74</t>
  </si>
  <si>
    <t>Ericsson 2015 Annual Report, page 43; 2014 Annual Report page 74</t>
  </si>
  <si>
    <t>Ericsson 2015 Annual Report, page 43; 2013 annual report page 37 and 71; 2012 Annual Report, page 27.</t>
  </si>
  <si>
    <t xml:space="preserve">From Annual Report 2012, page 27; this figure includes a one-off patent sale. </t>
  </si>
  <si>
    <t>Ericsson 2012 Annual Report, page 27; Ericcson Annual Report 2010, page 61</t>
  </si>
  <si>
    <t>Ericsson 2011 Annual Report, page 24;  Ericsson Annual Report 2009, page 54.</t>
  </si>
  <si>
    <t xml:space="preserve">From Annual Report 2011, page 24:  Difference between IPR Revenues and Reported License Revenues for 2007-2009 are related to Ericsson Mobile Platform (EMP) Revenues.  2009 Annual Report, page 54, gives a higher figure for 2007 and 2008 because it includes revenues from Ericcson Mobile Platforms (EMP).  We take those figures in order to bias the results upwards </t>
  </si>
  <si>
    <t>Ericsson 2013 Annual Report, page 37; Ericsson Annal Report 2012, page 27; Ericcson Annual Report 2010, page 61;Ericsson annual report 2009 page 32 and54.</t>
  </si>
  <si>
    <t xml:space="preserve">*  It is possible that estimates for 2009, 2010, 2011, 2012 might be biased downwards because Ericsson Mobile Platforms (EMP) was shifted into a joint ventures with ST (ST-Ericsson), and thus some licensing </t>
  </si>
  <si>
    <t xml:space="preserve">revenues would have been reported there.  The 2012 Ericsson annual report suggests that licensing revenue was 5 billion in 2008, but  the 2011 report puts licensing revenues at 9.1 billion, because it includes revenues from EMP--and EMP was shifted to ST-Ericsson. </t>
  </si>
  <si>
    <t xml:space="preserve">The 2011 annual report puts IPR revenues at 3.2 billion, but The 2009 annual report puts total licensing revenues at 6.9 billion.    </t>
  </si>
  <si>
    <t xml:space="preserve">If the same pattern holds for the years in which ST-Ericsson held part of the IP Portfolio, then 2009, 2010, 2011, and 2012 would be biased downwards.  Note, for example, the jump in revenues in 2013--after ST Ericsson failed. </t>
  </si>
  <si>
    <t xml:space="preserve">Ericsson 2013 Annual Report, page 37; Ericsson Annal Report 2012, page 27 and page 65; Ericsson Annual Report 2010, page 19. </t>
  </si>
  <si>
    <t xml:space="preserve">The question is the extent of licensing revenues in ST-Ericsson in 2009, 2010, 2011, 2012.  </t>
  </si>
  <si>
    <t xml:space="preserve">ST-Ericcson was a fabless chip manufacturer that directly competed with qualcomm in the base processor market.  </t>
  </si>
  <si>
    <t>ST-Ericsson was formed on 3 February 2009 when STMicroelectronics and Ericsson completed the merger of Ericsson Mobile Platforms and ST-NXP Wireless into a 50/50 joint venture.</t>
  </si>
  <si>
    <t>ST contributed its multimedia and connectivity products as well as their 2G/EDGE platform and 3G offering. Ericsson contributed its 3G and 3GPP Long Term Evolution (LTE) platform technology. The merger followed an existing strategic co-operation between Ericsson Mobile Platforms and ST-NXP Wireless</t>
  </si>
  <si>
    <t>On 11 December 2012, ST-Ericsson was on the brink of shutdown after its parent company STMicroelectronics decided to move out of the JV, citing loss of market share due to ST-Ericsson failing to attain Break-even. Since ST-Ericsson came into being in 2009, STMicroelectronics has slipped from 5 to 7 in global semiconductor firms' rakings</t>
  </si>
  <si>
    <t>On 18 March 2013, the parent companies announced that the joint venture was to be closed down, with the parent companies taking over parts, but not all, of its operation and products</t>
  </si>
  <si>
    <t>What then can we say about the extent of lciensing revenues that would have been allocated to Ericsson had ST-Ericsson not existed from 2009 through 2012?</t>
  </si>
  <si>
    <t xml:space="preserve">Here is what we know: Total Sales of ST-Ericsson in 2010 were 2.5 billion SEK. (Ericsson Annual Report, 2010, page 35.  </t>
  </si>
  <si>
    <t>ST Ericsson reported in US dollars, following GAAS, and thus we have retrieved their financial statements in order to get upper bound figures for what ST Ericsson might have made in licensing revnues</t>
  </si>
  <si>
    <t xml:space="preserve">According to ST Ericssons financial statement for the fourth quarter of 2011, (GENEVA, SWITZERLAND--(Marketwire -01/23/12) Income in 2010  was $2.293 billion. </t>
  </si>
  <si>
    <t>According to ST Ericsson's financial statement for the fourth quarter of 2009,annual  income in 2009 was $2.524 billion</t>
  </si>
  <si>
    <t>According to ST Ericsson's financial statement for the fourth quarter of 2009,annual  income in 2008 was $3.577 billion</t>
  </si>
  <si>
    <t>According to ST Ericssons financial statement for the fourth quarter of 2012, annual income in 2012 was $1.350 billion</t>
  </si>
  <si>
    <t>According to ST Ericssons financial statement for the fourth quarter of 2011, (GENEVA, SWITZERLAND--(Marketwire -01/23/12) Income in 2011  was $1.650  billion.  This is corroborated by Ericsson Annual Report for 2011, page 5</t>
  </si>
  <si>
    <t>These FinancialStatements by ST Ericsson match the sales figures reported in Ericsson's Annual Reports.  See, for example, Ericsson Annual Report 2012, page 38, which provides ST-Ericsson sales data for 2009 through 2012.</t>
  </si>
  <si>
    <t xml:space="preserve">Annual Reports for 2011 and 2012 put 2009 licensing at 4.3 billion.  We use the higher figure, 4.481 billion, which appears to differ because of royalty income from Ericsson-ST. See annual report 2010, page 61.   Ericsson Annual Report 2009, page 32 provides additional information on licensing revenues: "The Parent Company is the owner of a substantial part of
Ericsson’s intellectual property rights. It manages the patent
portfolio, including patent applications, licensing and crosslicensing
of patents and defending of patents in litigations...Effective January 1, 2009, the right to all license revenues
from third parties related to patent licenses was transferred
to Ericsson AB, a wholly owned subsidiary, and consequently
net sales in 2009 were insignificant compared to 2008."  The implication is that prior to the creation of ST-Ericsson, Ericsson transferred relevant patents to the operation to a wholly owned subsidiary, Ericsson AB. </t>
  </si>
  <si>
    <t>From annual report 2012, this figure includes revenue from a one-off patent sale. Note that 2012 Annual report puts license income at 5billion, but 2010 annual report puts it at 9.106 billion. The discepancy appears to be related to the fact that 2008 includes revenues from Ericsson Mobile Platforms. In 2009, EMP was moved into ST-Ericsson.  ST -Ericsson did not succeed, and disappeared in 2013.  At the same time that ST-Ericsson was created, Ericsson AB was created, a wholly owned subsidiary of Ericsson, and much of the patent portolio was transferred there.  The implication is that there should be a step up for all later years, at least until 2013, when ST-Ericsson folded.</t>
  </si>
  <si>
    <t>The implication is that any "missing IPR" licensing revenues would not have come from a transfer of IP to ST-Ericsson: the total income numbers are just too low, especially when one considers that ST-Ericsson was a major modem manufacturer.</t>
  </si>
  <si>
    <t>This stands to reason: why transfer valuable IPR to a joint venture, giving your partner part of your IP portolio in the event of liquidation?</t>
  </si>
  <si>
    <t xml:space="preserve">The 2009 AR explains where the revenues went:  Ericsson Annual Report 2009, page 32: "The Parent Company is the owner of a substantial part of Ericsson’s intellectual property rights. It manages the patent
</t>
  </si>
  <si>
    <t xml:space="preserve">net sales in 2009 were insignificant compared to 2008."  The implication is that prior to the creation of ST-Ericsson, Ericsson transferred relevant patents to the operation to a wholly owned subsidiary, Ericsson AB. </t>
  </si>
  <si>
    <t>portfolio, including patent applications, licensing and crosslicensingof patents and defending of patents in litigations...Effective January 1, 2009, the right to all license revenues</t>
  </si>
  <si>
    <t>from third parties related to patent licenses was transferred to Ericsson AB, a wholly owned subsidiary, and consequently</t>
  </si>
  <si>
    <t>The implication is that there should be a proportional step up (the difference between 5b and 9.1 b) for years after 2008</t>
  </si>
  <si>
    <t xml:space="preserve">The question is for how long did Ericsson maintain this policy of splitting revenues between Ericsson AB and the Parent Company.  The answer appears to be by at least 2013 all IPR revenues were again being reported to the parent company, </t>
  </si>
  <si>
    <t xml:space="preserve">because a cross-licensing agreement resulted in a payment from Samsung and this paymet was reported on as accruing to the parent company.  </t>
  </si>
  <si>
    <t xml:space="preserve">Indeed, those revenues of 4.2b in 2013 from Samsung account for the jump in IPR revenues from 2012 to 2013. </t>
  </si>
  <si>
    <t>That agreement was signed in 2014, so the 4.2b is likely a back payment for IP used by samsung in 2013.  The implication is that the value of the samsung agrement was worth roughly 4.2 b sek per year beginning in 2014.</t>
  </si>
  <si>
    <t>We therefore step up by 82.1 percent revenues from 2009 through 2012.</t>
  </si>
  <si>
    <t>Value of Step-Up for 2009 transfer of IPR to Samsung AB</t>
  </si>
  <si>
    <t>Implied step-up in IPR licensing to account for Ericsson AB spinoff of third party IPR revenues</t>
  </si>
  <si>
    <t>Adusted IPR licensing revenues (Reported, plus Step Up, plus Samsung)</t>
  </si>
  <si>
    <t>Annual Report 2008, page 53 states that" "revenues from intellectual property rights (IPR ) related to products are as from
2007 reported in Net sales with related costs reported as Cost of sales.
Comparative figures for 2006 have been restated accordingly. "  In the 2006 AR, page 45, this restatement is explained as follows: "Revenues for intellectual property rights (IPR) related to products are included in Net sales instead of Other operating income. In 2006, SEK 2,038 million (SEK 1,400 million in
2005) of Other operating income were reclassified."</t>
  </si>
  <si>
    <t>Ericsson 2008 Annual Report, page 53; Ericsson Annual Report 2006, page 45</t>
  </si>
  <si>
    <t>Ericsson 2005 Annual Report, page 58</t>
  </si>
  <si>
    <t>Microsoft 10-K, FY 2015, pages 6 and 32 (for fiscal year ending June 2015)</t>
  </si>
  <si>
    <t>Microsoft 10-K, FY 2015, pages 6 and 33 (for fiscal year ending June 2015)</t>
  </si>
  <si>
    <t>We calculate 2014 and 2015 revenues from licensing of windows phone os base on page 32 of 2015 10-K, where we back out revenues on the basis of the following statement" Revenue from licensing of Windows Phone operating system decreased $1.4 billion or 55%, primarily due to prior year revenue associated with our joint strategic initiatives with Nokia that terminated when we acquired NDS. "  Note, page 6 states that: "Windows Phone revenue also includes revenue from licensing mobile-related patents.</t>
  </si>
  <si>
    <t>We calculate 2013 revenues from licensing of windows phone os based on page 33 of 2015-10k, where we back out revenues on the basis of the following statement: "Windows Phone revenue increased $822 million or 48%, [2013 vs 2014] mainly due to the recognition of $382 million revenue under our joint strategic initiatives with Nokia, which concluded in conjunction with the acquisition of NDS, as well as an increase in phone patent licensing revenue."  Note that 2014 10K, page 29 includes the following statement: "During the first quarter of fiscal year 2014, we changed our organizational structure as part of our transformation to a devices and services company. As a result, information that our chief operating decision maker regularly reviews for purposes of allocating resources and assessing performance changed. Therefore, we have recast certain prior period amounts to conform to the way we internally managed and monitored segment performance during fiscal year 2014. Our reportable segments are described below."  We imagine that this might impact reported licensing revenues for phone OS in 2013 and 2012.</t>
  </si>
  <si>
    <t xml:space="preserve">Micosoft 10K, FY 2014 (period ending june 30, 2014), pages 5 and 33. </t>
  </si>
  <si>
    <t xml:space="preserve">Microsoft 10-K, FY 2013, page 32. </t>
  </si>
  <si>
    <t>Nokia Form 20-F, 2015, page 8, Fiscal year Ends December 31</t>
  </si>
  <si>
    <t>FY (Ends Dec 31)</t>
  </si>
  <si>
    <t xml:space="preserve">Ericsson 2015 Annual Report, page 16, 43, and 74, </t>
  </si>
  <si>
    <t>Ericsson 2015 Annual Report, page 43 and 74; 2014 Annual Report page 74</t>
  </si>
  <si>
    <t>FY (ends June 30)</t>
  </si>
  <si>
    <t>Estimates of the  Value and  Volume of Devices Sold</t>
  </si>
  <si>
    <t>Year (Ends Dec 31)</t>
  </si>
  <si>
    <t xml:space="preserve">** </t>
  </si>
  <si>
    <t>Vendor</t>
  </si>
  <si>
    <t>Samsung</t>
  </si>
  <si>
    <t>Apple</t>
  </si>
  <si>
    <t>LG Electronics</t>
  </si>
  <si>
    <t>Others</t>
  </si>
  <si>
    <t>ZTE</t>
  </si>
  <si>
    <t>Total</t>
  </si>
  <si>
    <t>https://mobiforge.com/research-analysis/2011-handset-and-smartphone-sales-statistics-worldwide-big-picture   Accessed June 19 2016</t>
  </si>
  <si>
    <t>Company</t>
  </si>
  <si>
    <t>Huawei</t>
  </si>
  <si>
    <t>Lenovo (incl Motorola)</t>
  </si>
  <si>
    <t>http://www.gartner.com/newsroom/id/3215217   Accessed June 19 2016</t>
  </si>
  <si>
    <t>http://www.macrumors.com/2015/03/03/gartner-apple-samsung-q4-2014/   Accessed June 19 2016</t>
  </si>
  <si>
    <t>LG (includedin others as of 2015)</t>
  </si>
  <si>
    <t>Xiaomi (incl in others before 2014)</t>
  </si>
  <si>
    <t>Total Mobile Phones</t>
  </si>
  <si>
    <t>http://www.fonearena.com/blog/180592/worldwide-smartphone-sales-to-grow-mere-7-in-2016-gartner.html   Accessed June 19 2016 For Data on Total Mobile Phone Sales and Tablet Sales</t>
  </si>
  <si>
    <t>UltramobilePCs (Tablets)</t>
  </si>
  <si>
    <t>Total Smartphones</t>
  </si>
  <si>
    <t>http://www.patentlyapple.com/patently-apple/2014/03/gartner-reports-that-apples-ipad-is-number-one-and-hybrid-notebook-tablets-are-on-the-rise.html   Accessed June 19 2016, for data on Tablet Sales</t>
  </si>
  <si>
    <t>http://macdailynews.com/2013/01/25/idc-apple-took-25-1-of-worldwide-smartphone-market-in-2012/   Accessed June 19 2016</t>
  </si>
  <si>
    <t>Lenovo</t>
  </si>
  <si>
    <t>http://www.xbitlabs.com/news/mobile/display/20140128234203_Worldwide_Smartphone_Shipments_Top_One_Billion_Units_in_2013_IDC.html   Accessed June 19 2016</t>
  </si>
  <si>
    <t>Nokia (incl in others as of 2013)</t>
  </si>
  <si>
    <t>ZTE (incl in others as of 2013)</t>
  </si>
  <si>
    <t>Research in Mootion (in others as of 2013)</t>
  </si>
  <si>
    <t>2011 Reports on All Mobile Phones</t>
  </si>
  <si>
    <t>Motorola</t>
  </si>
  <si>
    <t>HTC</t>
  </si>
  <si>
    <t>2014 Mobile Phones</t>
  </si>
  <si>
    <t>2013 Smart Phones</t>
  </si>
  <si>
    <t>2013 Mobile Phones</t>
  </si>
  <si>
    <t xml:space="preserve">2015 Smartphones </t>
  </si>
  <si>
    <t>Estimate of feature phone sales</t>
  </si>
  <si>
    <t>http://www.mobilevillage.com/2014-q4-smartphone-sales-apple-gains/  Accessed June 19 2016</t>
  </si>
  <si>
    <t>Microsoft</t>
  </si>
  <si>
    <t>TCL Communication</t>
  </si>
  <si>
    <t>Micromax</t>
  </si>
  <si>
    <t>2014 SmartPhones</t>
  </si>
  <si>
    <t>http://macdailynews.com/2013/02/13/gartner-2012-mobile-phone-sales-declined-1-7-worldwide-apple-iphone-sales-up-22-6-yoy/</t>
  </si>
  <si>
    <t>Xiaomi</t>
  </si>
  <si>
    <t>http://macdailynews.com/2012/02/15/gartner-apple-took-top-smartphone-vendor-crown-in-q411-and-for-all-2011/ accessed june 20 2016</t>
  </si>
  <si>
    <t>Sony (Sony Ericsson)</t>
  </si>
  <si>
    <t>2012 Smartphones</t>
  </si>
  <si>
    <t>http://www.gartner.com/newsroom/id/2665715  Accessed June 20 2016</t>
  </si>
  <si>
    <t>Yulong</t>
  </si>
  <si>
    <t>http://www.gartner.com/newsroom/id/1543014 accessed june 20 2016</t>
  </si>
  <si>
    <t>2010 Reports on Smartphones</t>
  </si>
  <si>
    <t>2009 All mobile Devices sales to end users</t>
  </si>
  <si>
    <t>2009  Smartphones</t>
  </si>
  <si>
    <t>2015 Mobile Phones</t>
  </si>
  <si>
    <t>2012   Mobile Phones</t>
  </si>
  <si>
    <t>2011 Smartphones</t>
  </si>
  <si>
    <t>2015 shipments Smartphones m</t>
  </si>
  <si>
    <t>2014 shipments smart phones m</t>
  </si>
  <si>
    <t>Shipments 2012  smartphones</t>
  </si>
  <si>
    <t>Shipments 2010 Smartphones (millions)</t>
  </si>
  <si>
    <t>https://www.idc.com/getdoc.jsp?containerId=prUS40980416</t>
  </si>
  <si>
    <t>http://www.statista.com/statistics/510668/smartphone-average-selling-price-worldwide/  Accessed June 21 2016</t>
  </si>
  <si>
    <t>http://www.statista.com/statistics/309472/global-average-selling-price-smartphones/  accessed june 21 2016</t>
  </si>
  <si>
    <t>http://www.gartner.com/newsroom/id/1924314 accessed on jun 22 2016</t>
  </si>
  <si>
    <t>http://www.statista.com/statistics/263437/global-smartphone-sales-to-end-users-since-2007/ accessed june 23 2016</t>
  </si>
  <si>
    <t>2008 Smartphones</t>
  </si>
  <si>
    <t>2008 All Mobile Devices</t>
  </si>
  <si>
    <t>2007 Smartphones</t>
  </si>
  <si>
    <t>2007 All Mobile Devices</t>
  </si>
  <si>
    <t>http://www.gartner.com/newsroom/id/1306513 accessed june 23 2016</t>
  </si>
  <si>
    <t>We calculate 2012 revenues from licensing of windows phone and other phone patents based on page 33 of 2014 10K, where we back out revnues on the basis of the following statement: "Windows Phone revenue increased $1.2 billion, including an increase in patent licensing revenue and sales of Windows Phone licenses."  We know that revenue in 2013 was 1.7125 billion, hence, 2012 revenues were 512.5 million.  We know that in the 4th quarter of 2012, 6,185,500 phones were sold with windows phone OS. Roughly 25m for the year.  Data from http://www.gartner.com/newsroom/id/2335616</t>
  </si>
  <si>
    <t>http://www.gartner.com/newsroom/id/904729 accessed june 23 2016</t>
  </si>
  <si>
    <t>2015 shipments mobile phones</t>
  </si>
  <si>
    <t>2014 Shipments mobile phones</t>
  </si>
  <si>
    <t>2013 Shipments m--smart phones</t>
  </si>
  <si>
    <t>2013 shipments Mobile Phones</t>
  </si>
  <si>
    <t>Shipments 2012 Mobile Phones m</t>
  </si>
  <si>
    <t>Shipments 2011 Mobile Phones m</t>
  </si>
  <si>
    <t>Shipments 2011 Smartphones</t>
  </si>
  <si>
    <t>Shipments 2010 Mobile Phones</t>
  </si>
  <si>
    <t>2010 all mobile devices (phones)</t>
  </si>
  <si>
    <t>aggregated data</t>
  </si>
  <si>
    <t>2007</t>
  </si>
  <si>
    <t>2008</t>
  </si>
  <si>
    <t>2009</t>
  </si>
  <si>
    <t>2010</t>
  </si>
  <si>
    <t>2011</t>
  </si>
  <si>
    <t>2012</t>
  </si>
  <si>
    <t>2014</t>
  </si>
  <si>
    <t>2015</t>
  </si>
  <si>
    <t>Feature Phone volume</t>
  </si>
  <si>
    <t>Feature Phones total value (US$M)</t>
  </si>
  <si>
    <t>Feature Phone estimated Average Sales Price</t>
  </si>
  <si>
    <t>Smartphone Volume</t>
  </si>
  <si>
    <t>Smartphone Total Value (US$M)</t>
  </si>
  <si>
    <t>Smartphone estimated Average Sales Price</t>
  </si>
  <si>
    <t xml:space="preserve">Total Phones volume </t>
  </si>
  <si>
    <t>Total Phones  Value (US$M)</t>
  </si>
  <si>
    <t>Total Phones estimated average Sales Price</t>
  </si>
  <si>
    <t>Data on Phone Sales Volumes and Prices</t>
  </si>
  <si>
    <t>Global Shipments of  Phones from IDC</t>
  </si>
  <si>
    <t>Global Shipments and Prices of Smart and Feature Phones from IDC</t>
  </si>
  <si>
    <t>Total Revenue from Smartphones</t>
  </si>
  <si>
    <t xml:space="preserve">Smartphones  </t>
  </si>
  <si>
    <t xml:space="preserve">Total Mobile Phones </t>
  </si>
  <si>
    <t>ASP Smartphones</t>
  </si>
  <si>
    <t>Feature Phone Revenues</t>
  </si>
  <si>
    <t>Total Mobile Phone Revenues</t>
  </si>
  <si>
    <t>ASP Feature Phones</t>
  </si>
  <si>
    <t>Smartphones shipped Source 1</t>
  </si>
  <si>
    <t>Smartphones shipped Source 2</t>
  </si>
  <si>
    <t>IDCvs web source #2 %</t>
  </si>
  <si>
    <t>Global ASP Smartphones</t>
  </si>
  <si>
    <t>GFK ASP / IDC GSP</t>
  </si>
  <si>
    <t>SEC 10K, 2011</t>
  </si>
  <si>
    <t>http://www.mpegla.com/main/programs/AVC/Pages/Intro.aspx</t>
  </si>
  <si>
    <t>SEC 10K 2013</t>
  </si>
  <si>
    <t>SEC 10K, 2014</t>
  </si>
  <si>
    <t>SEC 10K, 2015</t>
  </si>
  <si>
    <t xml:space="preserve">Robustness Test </t>
  </si>
  <si>
    <t>WiLAN</t>
  </si>
  <si>
    <t xml:space="preserve">  </t>
  </si>
  <si>
    <t>Broadcom</t>
  </si>
  <si>
    <t>Assumptions</t>
  </si>
  <si>
    <t>British Telecommunications plc*</t>
  </si>
  <si>
    <t>GE Technology Development, Inc.</t>
  </si>
  <si>
    <t>JVC KENWOOD Corporation*</t>
  </si>
  <si>
    <t>KDDI Corporation*</t>
  </si>
  <si>
    <t>Orange SA*</t>
  </si>
  <si>
    <t>SANYO Electric Co., Ltd.*</t>
  </si>
  <si>
    <t>10ZiG Technology Inc</t>
  </si>
  <si>
    <t>3ivx Technologies Pty. Ltd.</t>
  </si>
  <si>
    <t>3ple-Media BV</t>
  </si>
  <si>
    <t>A&amp;R Cambridge Ltd. (ARCAM)</t>
  </si>
  <si>
    <t>A2Zlogix, Inc</t>
  </si>
  <si>
    <t>AAI Corporation</t>
  </si>
  <si>
    <t>AboCom Systems, Inc.</t>
  </si>
  <si>
    <t>Abox42 GmbH</t>
  </si>
  <si>
    <t>AccuWeather Sales and Service, Inc.</t>
  </si>
  <si>
    <t>AccuWeather, Inc.</t>
  </si>
  <si>
    <t>Acesonic Corporation</t>
  </si>
  <si>
    <t>Actiontec Electronics, Inc.</t>
  </si>
  <si>
    <t>Advanced Communications Co. Ltd.</t>
  </si>
  <si>
    <t>Advanced Digital Broadcast SA</t>
  </si>
  <si>
    <t>Agama Technologies AB</t>
  </si>
  <si>
    <t>AHS Co. Ltd.</t>
  </si>
  <si>
    <t>AirTies Kablosuz Iletisim Sanayi ve Dis Ticaret A.S.</t>
  </si>
  <si>
    <t>Aisin AW Co., Ltd.</t>
  </si>
  <si>
    <t>Alba Broadcasting Corporation Limited</t>
  </si>
  <si>
    <t>Albis Technologies Ltd.</t>
  </si>
  <si>
    <t>Alcorn McBride Inc.</t>
  </si>
  <si>
    <t>Alpine Electronics, Inc.</t>
  </si>
  <si>
    <t>Amazon Web Services, Inc.</t>
  </si>
  <si>
    <t>Amino Communications Limited</t>
  </si>
  <si>
    <t>AMX, L.L.C.</t>
  </si>
  <si>
    <t>Anatoly Denishchits</t>
  </si>
  <si>
    <t>Anevia SA</t>
  </si>
  <si>
    <t>Angel Iglesias, S.A.</t>
  </si>
  <si>
    <t>Appear TV AS</t>
  </si>
  <si>
    <t>APPLIED Telecomm Corp., Ltd.</t>
  </si>
  <si>
    <t>Arcadyan Technology Corporation</t>
  </si>
  <si>
    <t>ArcSoft, Inc.</t>
  </si>
  <si>
    <t>Arctic Sentinel, Inc.</t>
  </si>
  <si>
    <t>Argosy Research Inc.</t>
  </si>
  <si>
    <t>ArKaos SA</t>
  </si>
  <si>
    <t>ARRIS Global Limited</t>
  </si>
  <si>
    <t>Arris Group, Inc.</t>
  </si>
  <si>
    <t>Arts Computer Technologies GmbH</t>
  </si>
  <si>
    <t>arvato Entertainment LLC</t>
  </si>
  <si>
    <t>Asaca Corporation</t>
  </si>
  <si>
    <t>ashampoo GmbH &amp; Co. KG</t>
  </si>
  <si>
    <t>ASTRO Strobel Kommunikationssysteme GmbH</t>
  </si>
  <si>
    <t>Atakor</t>
  </si>
  <si>
    <t>ATEME</t>
  </si>
  <si>
    <t>Atlanta DTH (Shanghai) Co., Ltd.</t>
  </si>
  <si>
    <t>Atrust Computer Corp.</t>
  </si>
  <si>
    <t>ATX Networks Corp</t>
  </si>
  <si>
    <t>Audio &amp; Video Labs Inc aka Disc Makers</t>
  </si>
  <si>
    <t>Audio Partnership Plc</t>
  </si>
  <si>
    <t>Aurora Multimedia Corp.</t>
  </si>
  <si>
    <t>Autodesk, Inc.</t>
  </si>
  <si>
    <t>AVC Multimedia Software Co., Ltd.</t>
  </si>
  <si>
    <t>AVerMedia Technologies, Inc.</t>
  </si>
  <si>
    <t>Avid Technology, Inc.</t>
  </si>
  <si>
    <t>Avwatch, Inc.</t>
  </si>
  <si>
    <t>Awox S.A.</t>
  </si>
  <si>
    <t>Axess Products Corp.</t>
  </si>
  <si>
    <t>Azend Group Corp.</t>
  </si>
  <si>
    <t>BANDAI NAMCO Entertainment. Inc.</t>
  </si>
  <si>
    <t>Bang &amp; Olufsen a/s</t>
  </si>
  <si>
    <t>Baytronic Handels GmbH</t>
  </si>
  <si>
    <t>BCD Associates, Inc.</t>
  </si>
  <si>
    <t>Beautiful Enterprise Co., Ltd.</t>
  </si>
  <si>
    <t>Behavior Tech Computer Corp.</t>
  </si>
  <si>
    <t>Best Buy China Ltd as Trustee for Best Buy China, a trust created and organized under the laws of the People's Republic of China</t>
  </si>
  <si>
    <t>BEWATEC Kommunikationstechnik GmbH</t>
  </si>
  <si>
    <t>Bitcentral Inc</t>
  </si>
  <si>
    <t>BitCtrl Systems GmbH</t>
  </si>
  <si>
    <t>Blonder Tongue Laboratories, Inc.</t>
  </si>
  <si>
    <t>Bose Corporation</t>
  </si>
  <si>
    <t>Brainsalt Media GmbH</t>
  </si>
  <si>
    <t>Brightcove Inc.</t>
  </si>
  <si>
    <t>BrightSign, LLC</t>
  </si>
  <si>
    <t>British Telecommunications plc</t>
  </si>
  <si>
    <t>Broadcast Sports Inc.</t>
  </si>
  <si>
    <t>Buffalo Inc.</t>
  </si>
  <si>
    <t>Bull SAS</t>
  </si>
  <si>
    <t>Busch-Jaeger Elektro GmbH</t>
  </si>
  <si>
    <t>Bush Australia Pty Limited</t>
  </si>
  <si>
    <t>Cable Electronics, Inc.</t>
  </si>
  <si>
    <t>Cabletime Limited</t>
  </si>
  <si>
    <t>CableWorld Ltd.</t>
  </si>
  <si>
    <t>Calibrated Software, Inc.</t>
  </si>
  <si>
    <t>Canon Electronic Business Machines (H.K.) Co., Ltd.</t>
  </si>
  <si>
    <t>Canon Inc.</t>
  </si>
  <si>
    <t>CANVASs Co., Ltd.</t>
  </si>
  <si>
    <t>Capella Systems, LLC</t>
  </si>
  <si>
    <t>Carina System Co., Ltd.</t>
  </si>
  <si>
    <t>Carl Zeiss Meditec AG</t>
  </si>
  <si>
    <t>CastleNet Technology Inc.</t>
  </si>
  <si>
    <t>CASTRADE Co., Ltd.</t>
  </si>
  <si>
    <t>CAYIN Technology Co., Ltd.</t>
  </si>
  <si>
    <t>ccc software gmbh</t>
  </si>
  <si>
    <t>CD LAB AG</t>
  </si>
  <si>
    <t>Celartem, Inc. d.b.a. Extensis</t>
  </si>
  <si>
    <t>Changzhou C-Mex Electronics Co., Ltd</t>
  </si>
  <si>
    <t>China Hualu Group Co., Ltd.</t>
  </si>
  <si>
    <t>Chunichi Denshi Co., Ltd.</t>
  </si>
  <si>
    <t>Chyron Hego Corporation</t>
  </si>
  <si>
    <t>Cinegy GmbH</t>
  </si>
  <si>
    <t>Cinram GmbH</t>
  </si>
  <si>
    <t>Cinram Group Inc.</t>
  </si>
  <si>
    <t>Circus World Displays Limited</t>
  </si>
  <si>
    <t>Cisco Systems, Inc.</t>
  </si>
  <si>
    <t>Clarion (Malaysia) Sdn. Bhd.</t>
  </si>
  <si>
    <t>Clarion Co., Ltd.</t>
  </si>
  <si>
    <t>Clarion Corporation of America</t>
  </si>
  <si>
    <t>Clarion Europe S.A.S.</t>
  </si>
  <si>
    <t>Clearleap Inc.</t>
  </si>
  <si>
    <t>ClickView Limited (New Zealand)</t>
  </si>
  <si>
    <t>Cloud Cap Technology</t>
  </si>
  <si>
    <t>cmx electronics, sro</t>
  </si>
  <si>
    <t>ColosseoEAS, a.s.</t>
  </si>
  <si>
    <t>COMAG Handels AG</t>
  </si>
  <si>
    <t>Comigo Ltd.</t>
  </si>
  <si>
    <t>Compal Broadband Networks, INC.</t>
  </si>
  <si>
    <t>Computational Engineering International</t>
  </si>
  <si>
    <t>Computer Modules, Inc.</t>
  </si>
  <si>
    <t>Comtrend Corporation</t>
  </si>
  <si>
    <t>Conceiva Pty. Ltd.</t>
  </si>
  <si>
    <t>Contemporary Research Corporation</t>
  </si>
  <si>
    <t>Control Dynamics Pty. Ltd.</t>
  </si>
  <si>
    <t>Control4 Corporation</t>
  </si>
  <si>
    <t>COP-USA Inc.</t>
  </si>
  <si>
    <t>Corel Corporation</t>
  </si>
  <si>
    <t>Corel Inc.</t>
  </si>
  <si>
    <t>Corel Japan Ltd.</t>
  </si>
  <si>
    <t>Corel TW Corp.</t>
  </si>
  <si>
    <t>Cosmic Radicals, LLC</t>
  </si>
  <si>
    <t>CRI Middleware Co., Ltd.</t>
  </si>
  <si>
    <t>Crystal Computer Corp. (dba Crystal Solutions)</t>
  </si>
  <si>
    <t>CyberLink Corp.</t>
  </si>
  <si>
    <t>CyberLink Inc.</t>
  </si>
  <si>
    <t>CyberLink.com Corp.</t>
  </si>
  <si>
    <t>D&amp;M Holdings Inc.</t>
  </si>
  <si>
    <t>DAIKOKU DENKI CO., LTD.</t>
  </si>
  <si>
    <t>DALET S.A.</t>
  </si>
  <si>
    <t>Datapulse Technology Limited</t>
  </si>
  <si>
    <t>Datasat Digital Entertainment Inc.</t>
  </si>
  <si>
    <t>Datasystem Corporation Limited</t>
  </si>
  <si>
    <t>Dataton AB</t>
  </si>
  <si>
    <t>Dell Global B.V. (Singapore Branch)</t>
  </si>
  <si>
    <t>Delphi Automotive Systems, LLC</t>
  </si>
  <si>
    <t>Delphi Deutschland GmbH</t>
  </si>
  <si>
    <t>DENSO CORPORATION</t>
  </si>
  <si>
    <t>DEXATEK Technology Ltd.</t>
  </si>
  <si>
    <t>DGC GmbH</t>
  </si>
  <si>
    <t>DigiOn, Inc.</t>
  </si>
  <si>
    <t>Digita Victor S.A. de C.V</t>
  </si>
  <si>
    <t>Digital Audio Corporation</t>
  </si>
  <si>
    <t>Digital Living Network Alliance</t>
  </si>
  <si>
    <t>Digital Stream Technology, Inc.</t>
  </si>
  <si>
    <t>Digital Vision Systems Ltd</t>
  </si>
  <si>
    <t>Digitalis Education Solutions, Inc.</t>
  </si>
  <si>
    <t>Digitec Industrial Ltd.</t>
  </si>
  <si>
    <t>Dimetis GmbH</t>
  </si>
  <si>
    <t>D-Link Systems, Inc.</t>
  </si>
  <si>
    <t>Doebis GmbH</t>
  </si>
  <si>
    <t>Dolby Laboratories, Inc.</t>
  </si>
  <si>
    <t>Domo Tactical Communications (DTC) Ltd</t>
  </si>
  <si>
    <t>Dongguan Contel Electronics Co., Ltd</t>
  </si>
  <si>
    <t>Drastic Technologies Ltd.</t>
  </si>
  <si>
    <t>Dune HD LTD</t>
  </si>
  <si>
    <t>DX Antenna Co., Ltd.</t>
  </si>
  <si>
    <t>DXG Technology Corporation</t>
  </si>
  <si>
    <t>Dynamax Technologies Ltd.</t>
  </si>
  <si>
    <t>Edimax Technology Co., Ltd.</t>
  </si>
  <si>
    <t>EIZO Corporation</t>
  </si>
  <si>
    <t>EK3 Technologies Inc.</t>
  </si>
  <si>
    <t>Elecard Devices, CJSC</t>
  </si>
  <si>
    <t>Elecard Ltd.</t>
  </si>
  <si>
    <t>Elemental Technologies, Inc.</t>
  </si>
  <si>
    <t>Elgato Systems GmbH</t>
  </si>
  <si>
    <t>Emovis Corporation</t>
  </si>
  <si>
    <t>Emtec Asia Pte Ltd</t>
  </si>
  <si>
    <t>Encoded Media (UK) Ltd.</t>
  </si>
  <si>
    <t>Enseo, Inc.</t>
  </si>
  <si>
    <t>Entone Technologies (HK) Ltd</t>
  </si>
  <si>
    <t>Equine Videography</t>
  </si>
  <si>
    <t>equinux USA, Inc.</t>
  </si>
  <si>
    <t>Ericsson Media Solutions Ltd</t>
  </si>
  <si>
    <t>Ericsson Television Limited</t>
  </si>
  <si>
    <t>Ever Treasure Industrial Limited</t>
  </si>
  <si>
    <t>Everex Electronics Ltd.</t>
  </si>
  <si>
    <t>Evolution Digital, LLC</t>
  </si>
  <si>
    <t>Excelmedia Inc.</t>
  </si>
  <si>
    <t>Exelis Inc.</t>
  </si>
  <si>
    <t>Exelis Visual Information Solutions, Inc.</t>
  </si>
  <si>
    <t>expert AG</t>
  </si>
  <si>
    <t>Exterity Limited</t>
  </si>
  <si>
    <t>eyevis GmbH</t>
  </si>
  <si>
    <t>Eyewitness Forensic</t>
  </si>
  <si>
    <t>Famaval - Criações Metálicas Adauta S.A.</t>
  </si>
  <si>
    <t>Ferguson Sp. z.o.o.</t>
  </si>
  <si>
    <t>FK Services Co., Ltd.</t>
  </si>
  <si>
    <t>Fluendo S.A.</t>
  </si>
  <si>
    <t>Fluke Networks</t>
  </si>
  <si>
    <t>FOR-A Company Limited</t>
  </si>
  <si>
    <t>Forbidden Technologies plc</t>
  </si>
  <si>
    <t>FORTIS, Inc.</t>
  </si>
  <si>
    <t>Frankly Media LLC</t>
  </si>
  <si>
    <t>FreeMotion Fitness</t>
  </si>
  <si>
    <t>FTA Communication Technologies sarl</t>
  </si>
  <si>
    <t>FUBA Automotive Electronics GmbH</t>
  </si>
  <si>
    <t>Fudemame Co., Ltd.</t>
  </si>
  <si>
    <t>Fujitsu Client Computing Limited</t>
  </si>
  <si>
    <t>Fujitsu Connected Technologies Limited</t>
  </si>
  <si>
    <t>Fujitsu Limited</t>
  </si>
  <si>
    <t>Fujitsu Mobile Communications Limited</t>
  </si>
  <si>
    <t>Fujitsu Technology Solutions GmbH</t>
  </si>
  <si>
    <t>FUJITSU TEN LIMITED</t>
  </si>
  <si>
    <t>Funai Electric Co., Ltd.</t>
  </si>
  <si>
    <t>Funai Electric Europe Sp. Z o.o.</t>
  </si>
  <si>
    <t>Funke Antennen B.V.</t>
  </si>
  <si>
    <t>FXhome Limited</t>
  </si>
  <si>
    <t>GAKKEN STA:FUL Co., Ltd.</t>
  </si>
  <si>
    <t>GarageCube SA</t>
  </si>
  <si>
    <t>Garmin Switzerland GmbH</t>
  </si>
  <si>
    <t>GE Healthcare</t>
  </si>
  <si>
    <t>GE Inspection Technologies, LP</t>
  </si>
  <si>
    <t>Gemtek Technology Co., Ltd.</t>
  </si>
  <si>
    <t>Generation Technologies Corporation</t>
  </si>
  <si>
    <t>Genesi USA Inc.</t>
  </si>
  <si>
    <t>Geutebrück GmbH</t>
  </si>
  <si>
    <t>Global Phoenix Computer Technologies Solutions, Inc.</t>
  </si>
  <si>
    <t>Global Vision Technology Limited</t>
  </si>
  <si>
    <t>Globaltronics GmbH &amp; Co KG</t>
  </si>
  <si>
    <t>Golden Media GmbH</t>
  </si>
  <si>
    <t>Google Fiber Inc.</t>
  </si>
  <si>
    <t>Google Inc.</t>
  </si>
  <si>
    <t>GoPro, Inc.</t>
  </si>
  <si>
    <t>Grass Valley Canada</t>
  </si>
  <si>
    <t>Grass Valley K.K.</t>
  </si>
  <si>
    <t>Grass Valley USA, LLC</t>
  </si>
  <si>
    <t>GreenWave Scientific, Inc. d/b/a Mohu</t>
  </si>
  <si>
    <t>Grundig Australia Pty Limited</t>
  </si>
  <si>
    <t>Grundig Consumer Electronics Limited</t>
  </si>
  <si>
    <t>Guangdong Coagent Electronic S&amp;T Co., Ltd.</t>
  </si>
  <si>
    <t>Guangzhou Panyu Juda Car Audio Equipment Co., Ltd.</t>
  </si>
  <si>
    <t>Guillemot Corporation S.A.</t>
  </si>
  <si>
    <t>Haier America Trading, LLC</t>
  </si>
  <si>
    <t>HaiVision Network Video Inc.</t>
  </si>
  <si>
    <t>HaiVision Systems Inc.</t>
  </si>
  <si>
    <t>Hansun Technologies Inc.</t>
  </si>
  <si>
    <t>Harman International Industries, Inc.</t>
  </si>
  <si>
    <t>Harmonic Inc.</t>
  </si>
  <si>
    <t>Harris Corporation</t>
  </si>
  <si>
    <t>Harvard International (Hong Kong) Limited</t>
  </si>
  <si>
    <t>Harvard International Plc</t>
  </si>
  <si>
    <t>Harvard Maritime Limited</t>
  </si>
  <si>
    <t>HGST</t>
  </si>
  <si>
    <t>Hirschmann Car Communication GmbH</t>
  </si>
  <si>
    <t>Hitachi Aloka Medical, Ltd.</t>
  </si>
  <si>
    <t>Hitachi America, Ltd.</t>
  </si>
  <si>
    <t>Hitachi Consumer Marketing, Inc.</t>
  </si>
  <si>
    <t>Hitachi Europe Ltd.</t>
  </si>
  <si>
    <t>Hitachi Kokusai Electric Inc.</t>
  </si>
  <si>
    <t>Hitachi Maxell, Ltd.</t>
  </si>
  <si>
    <t>Hitachi Solutions Create, Ltd.</t>
  </si>
  <si>
    <t>Hitachi, Ltd.</t>
  </si>
  <si>
    <t>HKC OVERSEAS LIMITED</t>
  </si>
  <si>
    <t>Hoist Locatel France</t>
  </si>
  <si>
    <t>Honest Technology Co., Ltd.</t>
  </si>
  <si>
    <t>Honeywell International Inc.</t>
  </si>
  <si>
    <t>HP Inc.</t>
  </si>
  <si>
    <t>HuaDa Digital Corporation</t>
  </si>
  <si>
    <t>Huizhou Desay SV Automotive Co., Ltd.</t>
  </si>
  <si>
    <t>Huizhou TCL Audio Video Electronics Co., Ltd.</t>
  </si>
  <si>
    <t>Human Monitoring Ltd.</t>
  </si>
  <si>
    <t>IAdea Corporation</t>
  </si>
  <si>
    <t>IBEX Technology Co., Ltd.</t>
  </si>
  <si>
    <t>ICON Health &amp; Fitness</t>
  </si>
  <si>
    <t>IGEL Technology GmbH</t>
  </si>
  <si>
    <t>Ikegami Tsushinki Co., Ltd.</t>
  </si>
  <si>
    <t>Imagik Intl Corp.</t>
  </si>
  <si>
    <t>Imagination Technologies Limited</t>
  </si>
  <si>
    <t>iMemories Inc.</t>
  </si>
  <si>
    <t>Immersive Technologies Pty. Ltd.</t>
  </si>
  <si>
    <t>Inca Networks Inc.</t>
  </si>
  <si>
    <t>inData Corporation</t>
  </si>
  <si>
    <t>Individual Shared System Inc.</t>
  </si>
  <si>
    <t>Individual Software Inc.</t>
  </si>
  <si>
    <t>Indoorcycling Group GmbH</t>
  </si>
  <si>
    <t>InfoCaption AB</t>
  </si>
  <si>
    <t>INFOCITY, Inc.</t>
  </si>
  <si>
    <t>InFocus Corporation</t>
  </si>
  <si>
    <t>Infomir, L.L.C.</t>
  </si>
  <si>
    <t>INKEL Corporation</t>
  </si>
  <si>
    <t>inLighten, Inc.</t>
  </si>
  <si>
    <t>inMusic, Inc.</t>
  </si>
  <si>
    <t>Innopia Technologies, Inc.</t>
  </si>
  <si>
    <t>Insta DefSec Oy</t>
  </si>
  <si>
    <t>International Datacasting Corporation</t>
  </si>
  <si>
    <t>InterPhone Service Sp. z o. o.</t>
  </si>
  <si>
    <t>Interra Systems, Inc.</t>
  </si>
  <si>
    <t>Intinor AB</t>
  </si>
  <si>
    <t>Inventive Technology, Inc.</t>
  </si>
  <si>
    <t>I-O DATA DEVICE, INC.</t>
  </si>
  <si>
    <t>IP-NET LLC</t>
  </si>
  <si>
    <t>iStreamPlanet Co.</t>
  </si>
  <si>
    <t>IT-Service Robert Frunzke</t>
  </si>
  <si>
    <t>Ixanon AB</t>
  </si>
  <si>
    <t>IXIA</t>
  </si>
  <si>
    <t>Jaguar Land Rover Limited</t>
  </si>
  <si>
    <t>Japan Radio Co., Ltd.</t>
  </si>
  <si>
    <t>Jungle Inc.</t>
  </si>
  <si>
    <t>jusst technologies GmbH</t>
  </si>
  <si>
    <t>Kaga Electronics Co., Ltd.</t>
  </si>
  <si>
    <t>Keepixo</t>
  </si>
  <si>
    <t>Kogan Technologies Pty Ltd</t>
  </si>
  <si>
    <t>Konami Digital Entertainment Co., Ltd.</t>
  </si>
  <si>
    <t>Koninklijke Philips N.V.</t>
  </si>
  <si>
    <t>Krell Industries LLC</t>
  </si>
  <si>
    <t>KTech Telecommunications, Inc.</t>
  </si>
  <si>
    <t>KUBOTEK Corporation</t>
  </si>
  <si>
    <t>KYE Systems Corp.</t>
  </si>
  <si>
    <t>Kyocera Corporation</t>
  </si>
  <si>
    <t>L-3 Communications CSW</t>
  </si>
  <si>
    <t>LEAD Technologies, Inc.</t>
  </si>
  <si>
    <t>Leader Electronics Corp.</t>
  </si>
  <si>
    <t>Legistek Corporation</t>
  </si>
  <si>
    <t>LEIGHTRONIX, INC.</t>
  </si>
  <si>
    <t>Line Industrial Limited</t>
  </si>
  <si>
    <t>Littlewoods Clearance Limited</t>
  </si>
  <si>
    <t>Littlewoods Limited</t>
  </si>
  <si>
    <t>Loewe Technologies GmbH</t>
  </si>
  <si>
    <t>Logitec INA Solutions Co., Ltd.</t>
  </si>
  <si>
    <t>Logos Research Systems, Inc. (d.b.a. Logos Bible Software)</t>
  </si>
  <si>
    <t>LoiLo Inc.</t>
  </si>
  <si>
    <t>Lumexis Corporation</t>
  </si>
  <si>
    <t>MAGNOLIA Inc.</t>
  </si>
  <si>
    <t>Makena Electronic (Shenzhen) Company Limited</t>
  </si>
  <si>
    <t>Manhattan - Digital</t>
  </si>
  <si>
    <t>Manhattan Technology Limited</t>
  </si>
  <si>
    <t>Mantrics S.r.l.</t>
  </si>
  <si>
    <t>Manzanita Systems, LLC</t>
  </si>
  <si>
    <t>Marusys Co., Ltd</t>
  </si>
  <si>
    <t>MASPRO DENKOH CORP.</t>
  </si>
  <si>
    <t>Masstech Group, Inc.</t>
  </si>
  <si>
    <t>McIntosh Laboratory, Inc.</t>
  </si>
  <si>
    <t>Mcomms Design Pty. Ltd.</t>
  </si>
  <si>
    <t>Media Excel, Inc.</t>
  </si>
  <si>
    <t>Media Logitech Corporation</t>
  </si>
  <si>
    <t>MEDIAEDGE Corporation</t>
  </si>
  <si>
    <t>Mediaware International Pty Ltd</t>
  </si>
  <si>
    <t>MediCapture, Inc.</t>
  </si>
  <si>
    <t>meetwise GmbH</t>
  </si>
  <si>
    <t>Mega Fame Electronics Co., Ltd.</t>
  </si>
  <si>
    <t>Memory-Tech Corporation</t>
  </si>
  <si>
    <t>Metronic SAS</t>
  </si>
  <si>
    <t>Michley Electronics, Inc.</t>
  </si>
  <si>
    <t>Miharu Communications Inc.</t>
  </si>
  <si>
    <t>Miracle Linux Corporation</t>
  </si>
  <si>
    <t>Miraclebox Multimedia AB</t>
  </si>
  <si>
    <t>Mirillis Ltd.</t>
  </si>
  <si>
    <t>Mitel Communications Inc.</t>
  </si>
  <si>
    <t>MitraStar Technology Corporation</t>
  </si>
  <si>
    <t>Mitsubishi Electric (Malaysia) Sdn. Bhd.</t>
  </si>
  <si>
    <t>Mitsubishi Electric Automotive (China) Co., Ltd.</t>
  </si>
  <si>
    <t>Mitsubishi Electric Automotive de Mexico, S.A. de C.V.</t>
  </si>
  <si>
    <t>Mitsubishi Electric Corporation</t>
  </si>
  <si>
    <t>Mitsubishi Electric Engineering Company Limited</t>
  </si>
  <si>
    <t>Mitsubishi Electric Information Network Corporation</t>
  </si>
  <si>
    <t>Mitsubishi Electric Thai Auto-Parts Co., Ltd.</t>
  </si>
  <si>
    <t>Mitsumi Electric Co., Ltd.</t>
  </si>
  <si>
    <t>Modoosis Inc.</t>
  </si>
  <si>
    <t>Modulo PI</t>
  </si>
  <si>
    <t>MOG Technologies, SA</t>
  </si>
  <si>
    <t>MOL JAPAN CORPORATION</t>
  </si>
  <si>
    <t>MONOGRAM Technologies, s.r.o.</t>
  </si>
  <si>
    <t>Morega Systems Inc.</t>
  </si>
  <si>
    <t>Motama GmbH</t>
  </si>
  <si>
    <t>MOVAVI SOFTWARE LIMITED</t>
  </si>
  <si>
    <t>MultiKom Deltasat GmbH &amp; Co. KG</t>
  </si>
  <si>
    <t>MultiQ Products AB</t>
  </si>
  <si>
    <t>Mustek Europe BV</t>
  </si>
  <si>
    <t>muvee Technologies Pte. Ltd.</t>
  </si>
  <si>
    <t>NAGRAVISION S.A.</t>
  </si>
  <si>
    <t>Namsung Corporation</t>
  </si>
  <si>
    <t>Nathan Hammer Media</t>
  </si>
  <si>
    <t>NEC Corporation</t>
  </si>
  <si>
    <t>NEC Display Solutions, Ltd.</t>
  </si>
  <si>
    <t>NEC Engineering, Ltd.</t>
  </si>
  <si>
    <t>NEC Personal Products, Ltd.</t>
  </si>
  <si>
    <t>Nedis B.V.</t>
  </si>
  <si>
    <t>Nel-Tech Labs, Inc.</t>
  </si>
  <si>
    <t>Neos Interactive Ltd.</t>
  </si>
  <si>
    <t>Nero AG</t>
  </si>
  <si>
    <t>NETGEAR, Inc.</t>
  </si>
  <si>
    <t>Nevion Europe AS</t>
  </si>
  <si>
    <t>NewSoft Technology Corporation</t>
  </si>
  <si>
    <t>NewTek, Inc.</t>
  </si>
  <si>
    <t>Nexguard Labs France S.A.S.</t>
  </si>
  <si>
    <t>NextoDI Co. Ltd.</t>
  </si>
  <si>
    <t>Nihon Computer Co., Ltd.</t>
  </si>
  <si>
    <t>Nikon Corporation</t>
  </si>
  <si>
    <t>Nikon Systems Inc.</t>
  </si>
  <si>
    <t>Nintendo Co., Ltd.</t>
  </si>
  <si>
    <t>NOA GmbH</t>
  </si>
  <si>
    <t>Nodis Srl</t>
  </si>
  <si>
    <t>Noon Technology Co., Ltd.</t>
  </si>
  <si>
    <t>Noritsu Precision Co., Ltd.</t>
  </si>
  <si>
    <t>NTI Corporation</t>
  </si>
  <si>
    <t>NTT Communications Corporation</t>
  </si>
  <si>
    <t>NTT DATA MSE CORPORATION</t>
  </si>
  <si>
    <t>NTT Electronics Corporation</t>
  </si>
  <si>
    <t>NTT IT Corporation</t>
  </si>
  <si>
    <t>NVIDIA Corporation</t>
  </si>
  <si>
    <t>Oki Electric Industry Co., Ltd.</t>
  </si>
  <si>
    <t>OLPC, Inc.</t>
  </si>
  <si>
    <t>Omega Digital Electronics B.V.</t>
  </si>
  <si>
    <t>Omega Elektronik San.ve Tic A.S.</t>
  </si>
  <si>
    <t>Onkyo &amp; Pioneer Corporation</t>
  </si>
  <si>
    <t>Onkyo &amp; Pioneer Innovations Corporation</t>
  </si>
  <si>
    <t>Onkyo Corporation</t>
  </si>
  <si>
    <t>OOO TTV</t>
  </si>
  <si>
    <t>OPPO Digital, Inc.</t>
  </si>
  <si>
    <t>Optibase Technologies Ltd.</t>
  </si>
  <si>
    <t>optimal media GmbH</t>
  </si>
  <si>
    <t>Optoma Corporation</t>
  </si>
  <si>
    <t>Oracle America, Inc.</t>
  </si>
  <si>
    <t>OvisLink Corp.</t>
  </si>
  <si>
    <t>OXX Digital ApS</t>
  </si>
  <si>
    <t>PacketVideo Corporation</t>
  </si>
  <si>
    <t>PAR Government Systems Corporation</t>
  </si>
  <si>
    <t>PC Partner Ltd.</t>
  </si>
  <si>
    <t>Pegasys Inc.</t>
  </si>
  <si>
    <t>Persona Software, LLC</t>
  </si>
  <si>
    <t>Photodex Corporation</t>
  </si>
  <si>
    <t>Pico Digital Inc.</t>
  </si>
  <si>
    <t>Picturall Ltd</t>
  </si>
  <si>
    <t>Pinnacle Systems, Inc.</t>
  </si>
  <si>
    <t>Pioneer Corporation</t>
  </si>
  <si>
    <t>Pixela Corporation</t>
  </si>
  <si>
    <t>PixelTools Corporation</t>
  </si>
  <si>
    <t>Planar Systems, Inc.</t>
  </si>
  <si>
    <t>Pointstreak Sports Technologies Inc.</t>
  </si>
  <si>
    <t>Polytron-Vertrieb GmbH</t>
  </si>
  <si>
    <t>PPS Group</t>
  </si>
  <si>
    <t>Praim Srl</t>
  </si>
  <si>
    <t>Precor Incorporated</t>
  </si>
  <si>
    <t>Prestigio Plaza Limited</t>
  </si>
  <si>
    <t>Prime Electronics &amp; Satellitics Inc.</t>
  </si>
  <si>
    <t>Primedisc Corporation Limited</t>
  </si>
  <si>
    <t>Pulse-Eight Limited</t>
  </si>
  <si>
    <t>Quadrus Technology Limited</t>
  </si>
  <si>
    <t>Quantel Limited</t>
  </si>
  <si>
    <t>Quatius Limited</t>
  </si>
  <si>
    <t>Radiant Communications Corp.</t>
  </si>
  <si>
    <t>Radiopaq Ltd.</t>
  </si>
  <si>
    <t>RaidSonic Technology GmbH</t>
  </si>
  <si>
    <t>Rapid Imaging Software, Inc.</t>
  </si>
  <si>
    <t>Raspberry Pi (Trading) Ltd</t>
  </si>
  <si>
    <t>RATOC Systems, Inc.</t>
  </si>
  <si>
    <t>Razvan Chisu</t>
  </si>
  <si>
    <t>RealNetworks, Inc.</t>
  </si>
  <si>
    <t>Ricoh Company, Ltd.</t>
  </si>
  <si>
    <t>Robert Bosch GmbH</t>
  </si>
  <si>
    <t>Robert Cosman</t>
  </si>
  <si>
    <t>Rockwell Collins, Inc.</t>
  </si>
  <si>
    <t>Rohde &amp; Schwarz GmbH &amp; Co. KG</t>
  </si>
  <si>
    <t>Roku, Inc.</t>
  </si>
  <si>
    <t>Roland Corporation</t>
  </si>
  <si>
    <t>S1nn GmbH &amp; Co. KG</t>
  </si>
  <si>
    <t>Sagemcom Broadband SAS</t>
  </si>
  <si>
    <t>Sakura Eiki Co., Ltd.</t>
  </si>
  <si>
    <t>Sammy Corporation</t>
  </si>
  <si>
    <t>Samwin Hong Kong Limited</t>
  </si>
  <si>
    <t>SANYO Techno Solutions Tottori Co., Ltd.</t>
  </si>
  <si>
    <t>Scala, Inc.</t>
  </si>
  <si>
    <t>SCISYS Deutschland GmbH</t>
  </si>
  <si>
    <t>Seagate Technology LLC</t>
  </si>
  <si>
    <t>Sears Holdings Management Corporation</t>
  </si>
  <si>
    <t>SEGA Games Co., Ltd.</t>
  </si>
  <si>
    <t>Seiko Epson Corporation</t>
  </si>
  <si>
    <t>Sencore, Inc.</t>
  </si>
  <si>
    <t>Sensoray Company, Inc.</t>
  </si>
  <si>
    <t>SetOne GmbH</t>
  </si>
  <si>
    <t>Shanghai S3 Technologies Co., Ltd.</t>
  </si>
  <si>
    <t>Sharp Corporation</t>
  </si>
  <si>
    <t>Shenzhen Geniatech Inc., Ltd.</t>
  </si>
  <si>
    <t>Shenzhen Jiuzhou Electric Co., Ltd.</t>
  </si>
  <si>
    <t>ShenZhen JunLan Electronic Ltd.</t>
  </si>
  <si>
    <t>Shenzhen Maxmade Technology Co., Ltd.</t>
  </si>
  <si>
    <t>Shenzhen Mele Digital Technology Ltd</t>
  </si>
  <si>
    <t>Shenzhen Roadrover Technology Co., Ltd</t>
  </si>
  <si>
    <t>Shenzhen Wondershare Information Technology Co., Ltd.</t>
  </si>
  <si>
    <t>Shop Direct Home Shopping Limited</t>
  </si>
  <si>
    <t>Shop Direct Ireland Limited</t>
  </si>
  <si>
    <t>Shoppers Universe Limited</t>
  </si>
  <si>
    <t>Siemens AG</t>
  </si>
  <si>
    <t>Siligence SAS</t>
  </si>
  <si>
    <t>Simi Reality Motion Systems GmbH</t>
  </si>
  <si>
    <t>Siqura BV</t>
  </si>
  <si>
    <t>Sirius Pixels</t>
  </si>
  <si>
    <t>Sitecom Europe B.V.</t>
  </si>
  <si>
    <t>Skardin Industrial (UK) Ltd</t>
  </si>
  <si>
    <t>Skypine Electronics (Shenzhen) Co., Ltd.</t>
  </si>
  <si>
    <t>SM Electronic GmbH</t>
  </si>
  <si>
    <t>SmarDTV SA</t>
  </si>
  <si>
    <t>SmartLabs LLC</t>
  </si>
  <si>
    <t>Smartronix, Inc.</t>
  </si>
  <si>
    <t>Smasher Communications Pvt. Ltd</t>
  </si>
  <si>
    <t>sMedio, Inc.</t>
  </si>
  <si>
    <t>Smith Micro Software, Inc.</t>
  </si>
  <si>
    <t>Snell Limited</t>
  </si>
  <si>
    <t>Softron-Microcomputing S.A.</t>
  </si>
  <si>
    <t>Softvelum, LLC</t>
  </si>
  <si>
    <t>Soliton Systems K.K.</t>
  </si>
  <si>
    <t>Solveig Multimedia</t>
  </si>
  <si>
    <t>Sonopress GmbH</t>
  </si>
  <si>
    <t>Sony Creative Software Inc.</t>
  </si>
  <si>
    <t>Sony DADC Japan Inc.</t>
  </si>
  <si>
    <t>Sorenson Media, Inc.</t>
  </si>
  <si>
    <t>Sourcenext Corporation</t>
  </si>
  <si>
    <t>Southern Products Inc. DBA Sigmac USA</t>
  </si>
  <si>
    <t>sportimization UG (haftungsbeschränkt)</t>
  </si>
  <si>
    <t>Spreading Flames Media, LLC</t>
  </si>
  <si>
    <t>Spreewald Kommunikationstechnik GmbH</t>
  </si>
  <si>
    <t>Square Box Systems Ltd</t>
  </si>
  <si>
    <t>Star Video Duplicating</t>
  </si>
  <si>
    <t>Starfish Technologies Limited</t>
  </si>
  <si>
    <t>Starlight Video Limited</t>
  </si>
  <si>
    <t>STEL Multimedia GmbH</t>
  </si>
  <si>
    <t>Stellar Information Technology Pvt Ltd</t>
  </si>
  <si>
    <t>Strobl Ges.m.b.H.</t>
  </si>
  <si>
    <t>STRONG International Ltd.</t>
  </si>
  <si>
    <t>Sulpice SAS</t>
  </si>
  <si>
    <t>Sumitomo Electric Industries, Ltd.</t>
  </si>
  <si>
    <t>Swisscom (Switzerland) Ltd.</t>
  </si>
  <si>
    <t>Syabas Technology Sdn. Bhd.</t>
  </si>
  <si>
    <t>Symetrics Industries, LLC</t>
  </si>
  <si>
    <t>Systemic Pty Ltd</t>
  </si>
  <si>
    <t>SZe Schneider &amp; Zirr engineering GmbH</t>
  </si>
  <si>
    <t>T+A elektroakustik GmbH &amp; Co. KG</t>
  </si>
  <si>
    <t>TAG Video Systems Ltd</t>
  </si>
  <si>
    <t>Taitex Corporation</t>
  </si>
  <si>
    <t>Taktik SA</t>
  </si>
  <si>
    <t>TARGA GmbH</t>
  </si>
  <si>
    <t>Tatung Co.</t>
  </si>
  <si>
    <t>TATUNG Technology Inc.</t>
  </si>
  <si>
    <t>TEAC Corporation</t>
  </si>
  <si>
    <t>Technaxx Deutschland GmbH &amp; Co. KG</t>
  </si>
  <si>
    <t>TECO Electric &amp; Machinery Co., Ltd.</t>
  </si>
  <si>
    <t>Tektronix, Inc.</t>
  </si>
  <si>
    <t>TELE System Communications Pte Ltd</t>
  </si>
  <si>
    <t>Teleste Corporation</t>
  </si>
  <si>
    <t>Telestream, Inc.</t>
  </si>
  <si>
    <t>Televés S.A.</t>
  </si>
  <si>
    <t>Teleview</t>
  </si>
  <si>
    <t>Telewizja Kablowa Koszalin Sp. z.o.o.</t>
  </si>
  <si>
    <t>Telsey Srl</t>
  </si>
  <si>
    <t>TelVue Corporation</t>
  </si>
  <si>
    <t>Teracue eyevis GmbH</t>
  </si>
  <si>
    <t>The Boeing Company</t>
  </si>
  <si>
    <t>Thomson Video Networks SAS</t>
  </si>
  <si>
    <t>TianJin Mitsumi Electric Co., Ltd.</t>
  </si>
  <si>
    <t>TiVo, Inc.</t>
  </si>
  <si>
    <t>tkSoft</t>
  </si>
  <si>
    <t>Tmax Digital Inc.</t>
  </si>
  <si>
    <t>Tongfang Global Ltd.</t>
  </si>
  <si>
    <t>Toshiba Corporation</t>
  </si>
  <si>
    <t>TouchTunes Music Corporation</t>
  </si>
  <si>
    <t>TOYO Recording Co., Ltd.</t>
  </si>
  <si>
    <t>TP Vision Europe B.V.</t>
  </si>
  <si>
    <t>TPVision Holding B.V.</t>
  </si>
  <si>
    <t>TrafficSim Co., Ltd.</t>
  </si>
  <si>
    <t>Transparent Video Systems Inc.</t>
  </si>
  <si>
    <t>Tresent Technologies</t>
  </si>
  <si>
    <t>Trilithic, Inc.</t>
  </si>
  <si>
    <t>Tristar Europe B.V.</t>
  </si>
  <si>
    <t>Turbosat International Ltd.</t>
  </si>
  <si>
    <t>Ufi Space Co., Ltd.</t>
  </si>
  <si>
    <t>Uniden Holdings Corporation</t>
  </si>
  <si>
    <t>UpStar U.S.A. Group</t>
  </si>
  <si>
    <t>U-Tech Media Corporation</t>
  </si>
  <si>
    <t>VANTAGE Digital GmbH</t>
  </si>
  <si>
    <t>Vantec Thermal Technologies</t>
  </si>
  <si>
    <t>Vantrix Corporation</t>
  </si>
  <si>
    <t>VBrick Systems, Inc.</t>
  </si>
  <si>
    <t>Vecima Networks Inc.</t>
  </si>
  <si>
    <t>VECTOR SP. Z O.O.</t>
  </si>
  <si>
    <t>Vela Research, LP</t>
  </si>
  <si>
    <t>Verimatrix, Inc.</t>
  </si>
  <si>
    <t>VidaBox, LLC</t>
  </si>
  <si>
    <t>VidCheck Ltd.</t>
  </si>
  <si>
    <t>Videon Central, Inc.</t>
  </si>
  <si>
    <t>VideoWeb GmbH</t>
  </si>
  <si>
    <t>Vidmakr Inc.</t>
  </si>
  <si>
    <t>Vidsys, Inc.</t>
  </si>
  <si>
    <t>ViewSonic Corporation</t>
  </si>
  <si>
    <t>Vigor Systems Inc.</t>
  </si>
  <si>
    <t>Vision Tech America, Inc.</t>
  </si>
  <si>
    <t>Visionary Solutions, Inc.</t>
  </si>
  <si>
    <t>Visionetics International</t>
  </si>
  <si>
    <t>Vislink plc</t>
  </si>
  <si>
    <t>Visteon Corporation</t>
  </si>
  <si>
    <t>VITEC Multimedia</t>
  </si>
  <si>
    <t>VOXX International Corp.</t>
  </si>
  <si>
    <t>VSN Video Stream Networks, S.L.</t>
  </si>
  <si>
    <t>VSO-Software SARL</t>
  </si>
  <si>
    <t>VuPoint Solutions, Inc.</t>
  </si>
  <si>
    <t>Vuzix Corporation</t>
  </si>
  <si>
    <t>WeatherData Services, Inc.</t>
  </si>
  <si>
    <t>Wegener Communications</t>
  </si>
  <si>
    <t>Werft22 AG</t>
  </si>
  <si>
    <t>Western Digital Technologies, Inc.</t>
  </si>
  <si>
    <t>WETEK D.O.O.</t>
  </si>
  <si>
    <t>Winmate Communications, Inc.</t>
  </si>
  <si>
    <t>WireSpring Technologies, Inc.</t>
  </si>
  <si>
    <t>WISI Communications GmbH &amp; Co. KG</t>
  </si>
  <si>
    <t>WISI Norden AB</t>
  </si>
  <si>
    <t>Wistron NeWeb Corporation</t>
  </si>
  <si>
    <t>Wowza Media Systems, LLC</t>
  </si>
  <si>
    <t>WSI Corporation</t>
  </si>
  <si>
    <t>Wyplay</t>
  </si>
  <si>
    <t>Wyse Technology Inc.</t>
  </si>
  <si>
    <t>X-GEM SAS</t>
  </si>
  <si>
    <t>X-Micro Technology Corp.</t>
  </si>
  <si>
    <t>Yamaha Corporation</t>
  </si>
  <si>
    <t>Zhejiang Belson Technology Co., Ltd.</t>
  </si>
  <si>
    <t>Zhejiang Tianle Digital Electric Co., Ltd.</t>
  </si>
  <si>
    <t>Zhongshan Dingcai AV Technology Co., Ltd.</t>
  </si>
  <si>
    <t>Zinwell Corporation</t>
  </si>
  <si>
    <t>ZODIAC Data Systems GmbH</t>
  </si>
  <si>
    <t>MPEG LA's MPEG-4 Visual Patent Portfolio License provides access to essential patent rights for the MPEG-4 (Part 2) Visual patents standard used in media player and other personal computer software, mobile devices including telephones, DVD players and recorder accessories such as DivX®, game machines, personal media player devices, security and surveillance systems equipment, still and video cameras, subscription and pay-per view or title video mobile and internet services and other products. To align with the real-world flow of MPEG-4 Visual commerce, reasonable royalties are apportioned throughout the MPEG-4 Visual value chain. The License employs annual limitations to provide cost predictability, threshold levels below which certain royalties will not be charged in order to encourage early-stage adopters and minimize the impact on lower volume users or demo products, and licensing options that require no royalty reports.</t>
  </si>
  <si>
    <t>CableTelevision Laboratories, Inc.</t>
  </si>
  <si>
    <t>Calmare Therapeutics Incorporated</t>
  </si>
  <si>
    <t>Dolby International AB*</t>
  </si>
  <si>
    <t>Dolby Laboratories Licensing Corporation</t>
  </si>
  <si>
    <t>LG Electronics Inc.</t>
  </si>
  <si>
    <t>Microsoft Corporation</t>
  </si>
  <si>
    <t>Nippon Telegraph and Telephone Corporation</t>
  </si>
  <si>
    <t>Oki Electric Industry Co., Ltd.*</t>
  </si>
  <si>
    <t>Panasonic Corporation</t>
  </si>
  <si>
    <t>Pantech Inc.</t>
  </si>
  <si>
    <t>Samsung Electronics Co., Ltd.</t>
  </si>
  <si>
    <t>Sony Corporation</t>
  </si>
  <si>
    <t>Sun Patent Trust</t>
  </si>
  <si>
    <t>Telenor ASA*</t>
  </si>
  <si>
    <t>Victor Company of Japan, Limited*</t>
  </si>
  <si>
    <t>ZTE Corporation</t>
  </si>
  <si>
    <t>2Dfacto, Inc.</t>
  </si>
  <si>
    <t>3DreamTeam, Inc</t>
  </si>
  <si>
    <t>3M Company</t>
  </si>
  <si>
    <t>ACCESS CO., LTD.</t>
  </si>
  <si>
    <t>ACTi Corporation</t>
  </si>
  <si>
    <t>A-DATA Technology Co., Ltd.</t>
  </si>
  <si>
    <t>ADP Dealer Services, Inc.</t>
  </si>
  <si>
    <t>Ainetmakoto</t>
  </si>
  <si>
    <t>AlertMe.com Limited</t>
  </si>
  <si>
    <t>Alexander R. Pruss</t>
  </si>
  <si>
    <t>ALGEBRA d.o.o.</t>
  </si>
  <si>
    <t>Aluratek, Inc.</t>
  </si>
  <si>
    <t>A-Max Technology Macao Commercial Offshore Co., Ltd.</t>
  </si>
  <si>
    <t>AMBISEA Technology Corp., Ltd</t>
  </si>
  <si>
    <t>AMI Entertainment Network, Inc.</t>
  </si>
  <si>
    <t>ANDROME N.V.</t>
  </si>
  <si>
    <t>ANTIK Technology Ltd.</t>
  </si>
  <si>
    <t>AOS Technologies AG</t>
  </si>
  <si>
    <t>Apple Inc.</t>
  </si>
  <si>
    <t>Applian Technologies Inc.</t>
  </si>
  <si>
    <t>Applied Global Technologies, Inc.</t>
  </si>
  <si>
    <t>ASAN Security Technologies Oy</t>
  </si>
  <si>
    <t>Astor Warehouse, S.A. de C.V.</t>
  </si>
  <si>
    <t>Audials AG</t>
  </si>
  <si>
    <t>AV Industry Sarl</t>
  </si>
  <si>
    <t>AV TECH Corporation</t>
  </si>
  <si>
    <t>AVer Information Inc.</t>
  </si>
  <si>
    <t>avinotec GmbH</t>
  </si>
  <si>
    <t>Avionic Design GmbH</t>
  </si>
  <si>
    <t>Avon Polymer Products Limited</t>
  </si>
  <si>
    <t>Axis Communications AB</t>
  </si>
  <si>
    <t>Ball Horticultural Company</t>
  </si>
  <si>
    <t>Barnesandnoble.com</t>
  </si>
  <si>
    <t>Baron Services, Inc.</t>
  </si>
  <si>
    <t>Basler Vision Technologies AG</t>
  </si>
  <si>
    <t>Beijing BlueSky Technologies Inc.</t>
  </si>
  <si>
    <t>Bittium USA Inc.</t>
  </si>
  <si>
    <t>Bittium Wireless Ltd.</t>
  </si>
  <si>
    <t>Bizmodeller Ltd</t>
  </si>
  <si>
    <t>BlackBerry Ltd</t>
  </si>
  <si>
    <t>Blackboard Collaborate Canada Inc.</t>
  </si>
  <si>
    <t>Bosch Security Systems B.V.</t>
  </si>
  <si>
    <t>Brains Corporation</t>
  </si>
  <si>
    <t>Breeze Technologies Ltd.</t>
  </si>
  <si>
    <t>BREMIG LLC (dba V-Note)</t>
  </si>
  <si>
    <t>BroadSoft, Inc.</t>
  </si>
  <si>
    <t>bylo media inc.</t>
  </si>
  <si>
    <t>C Software Ltd.</t>
  </si>
  <si>
    <t>Canary Connect Inc</t>
  </si>
  <si>
    <t>Canon Korea Business Solutions Inc.</t>
  </si>
  <si>
    <t>Casio Computer Co., Ltd.</t>
  </si>
  <si>
    <t>Cine Magnetics Digital &amp; Video Laboratories</t>
  </si>
  <si>
    <t>Citrix Online Germany GmbH</t>
  </si>
  <si>
    <t>Claro Software Limited</t>
  </si>
  <si>
    <t>ClearOne, Incorporated</t>
  </si>
  <si>
    <t>Clementoni SpA</t>
  </si>
  <si>
    <t>Cloud Engines Inc.</t>
  </si>
  <si>
    <t>CmeLocal Marketing Worldwide LLC</t>
  </si>
  <si>
    <t>Compal Electronics Europe Sp. z o.o.</t>
  </si>
  <si>
    <t>CoreCodec, Inc.</t>
  </si>
  <si>
    <t>COWON SYSTEMS, Inc.</t>
  </si>
  <si>
    <t>Creative Technology Ltd</t>
  </si>
  <si>
    <t>CRIMSON TECHNOLOGY, Inc.</t>
  </si>
  <si>
    <t>Cycle-in-Motion</t>
  </si>
  <si>
    <t>Dallmeier electronic GmbH &amp; Co.KG</t>
  </si>
  <si>
    <t>Delphi Electronics (Suzhou) Co., Ltd.</t>
  </si>
  <si>
    <t>Derivative Inc.</t>
  </si>
  <si>
    <t>Deutsche Telekom (UK) Ltd</t>
  </si>
  <si>
    <t>Dialcom Networks S.L.</t>
  </si>
  <si>
    <t>Dialogic Corporation</t>
  </si>
  <si>
    <t>Digital Barriers Services Ltd</t>
  </si>
  <si>
    <t>Digital Design Co., Ltd.</t>
  </si>
  <si>
    <t>Digital Edutainment Dederichs, Herter GbR</t>
  </si>
  <si>
    <t>Digital Electronics Corporation</t>
  </si>
  <si>
    <t>Digital Electronique Accessoires (DEA)</t>
  </si>
  <si>
    <t>Digital Foci, Inc.</t>
  </si>
  <si>
    <t>DivX, LLC</t>
  </si>
  <si>
    <t>Easypix GmbH</t>
  </si>
  <si>
    <t>Echo360</t>
  </si>
  <si>
    <t>Electronics Empire BV</t>
  </si>
  <si>
    <t>EM Software &amp; Systems - S.A. (Pty) Ltd</t>
  </si>
  <si>
    <t>Empirix Inc.</t>
  </si>
  <si>
    <t>EMSIS GmbH</t>
  </si>
  <si>
    <t>Engelmann Media GmbH</t>
  </si>
  <si>
    <t>Entaniya, Co., Ltd.</t>
  </si>
  <si>
    <t>Envivio Inc.</t>
  </si>
  <si>
    <t>Envysion, Inc.</t>
  </si>
  <si>
    <t>Epik Learning, LLC</t>
  </si>
  <si>
    <t>ET&amp;T Technology Co., Ltd.</t>
  </si>
  <si>
    <t>EverFocus Electronics Corp.</t>
  </si>
  <si>
    <t>Exacq Technologies, Inc.</t>
  </si>
  <si>
    <t>eZono AG</t>
  </si>
  <si>
    <t>Flash Networks Ltd.</t>
  </si>
  <si>
    <t>FLIR Systems AB</t>
  </si>
  <si>
    <t>Flomatik AB</t>
  </si>
  <si>
    <t>Flomatik AS</t>
  </si>
  <si>
    <t>Foxda Technology Industrial (Shenzhen) Co., Ltd</t>
  </si>
  <si>
    <t>Fraunhofer-Gesellschaft zur Foerderung der angewandten Forschung e.V.</t>
  </si>
  <si>
    <t>FREE SAS</t>
  </si>
  <si>
    <t>F-Secure Corporation</t>
  </si>
  <si>
    <t>FUJIFILM Corporation</t>
  </si>
  <si>
    <t>Fujitsu Kansai-Chubu Net-Tech Limited</t>
  </si>
  <si>
    <t>FunMobility Inc.</t>
  </si>
  <si>
    <t>General Dynamics C4 Systems, Inc</t>
  </si>
  <si>
    <t>General Satellite Research &amp; Development Limited</t>
  </si>
  <si>
    <t>GeoVision, Inc.</t>
  </si>
  <si>
    <t>Gibson INNOVATIONS</t>
  </si>
  <si>
    <t>Gigaset Communications GmbH</t>
  </si>
  <si>
    <t>GiiNii Global Ltd.</t>
  </si>
  <si>
    <t>Gretech Corporation</t>
  </si>
  <si>
    <t>Griffid B.V.</t>
  </si>
  <si>
    <t>Group Sense Limited</t>
  </si>
  <si>
    <t>GSM, LLC</t>
  </si>
  <si>
    <t>Hangzhou HIKVISION Digital Technology Co., Ltd.</t>
  </si>
  <si>
    <t>Hanwha Techwin Co., Ltd.</t>
  </si>
  <si>
    <t>HealthStream Taiwan, Inc.</t>
  </si>
  <si>
    <t>Hitachi Consumer Electronics Co., Ltd.</t>
  </si>
  <si>
    <t>Hoya Corporation</t>
  </si>
  <si>
    <t>HR Wallingford Ltd</t>
  </si>
  <si>
    <t>HTC Corporation</t>
  </si>
  <si>
    <t>i-Broadcast Inc.</t>
  </si>
  <si>
    <t>ICEsoft Technologies, Inc.</t>
  </si>
  <si>
    <t>iCode Systems Ltd.</t>
  </si>
  <si>
    <t>IDEC Corporation</t>
  </si>
  <si>
    <t>IDIS Co., Ltd.</t>
  </si>
  <si>
    <t>iiNet Labs Ltd</t>
  </si>
  <si>
    <t>IndigoVision Limited</t>
  </si>
  <si>
    <t>Industrial Video &amp; Control Co, LLC</t>
  </si>
  <si>
    <t>Infinova</t>
  </si>
  <si>
    <t>Inspire Technology Group, LLC</t>
  </si>
  <si>
    <t>Instant Co., Ltd.</t>
  </si>
  <si>
    <t>Intellio Technologies Zrt.</t>
  </si>
  <si>
    <t>IntuiLab SA</t>
  </si>
  <si>
    <t>IP4.tv GmbH</t>
  </si>
  <si>
    <t>ITV Group, Ltd.</t>
  </si>
  <si>
    <t>ITW Food Equipment Group LLC</t>
  </si>
  <si>
    <t>Jesse Duplantis Ministries</t>
  </si>
  <si>
    <t>JingWah Digital Technology Ltd.</t>
  </si>
  <si>
    <t>JVC KENWOOD Corporation</t>
  </si>
  <si>
    <t>KDDI Corporation</t>
  </si>
  <si>
    <t>KDDI R&amp;D Laboratories Inc.</t>
  </si>
  <si>
    <t>Kin Wei Technology (Hong Kong) Ltd</t>
  </si>
  <si>
    <t>Kinoma, Inc.</t>
  </si>
  <si>
    <t>Kodak Alaris Inc.</t>
  </si>
  <si>
    <t>Kong Bright Corporation Limited</t>
  </si>
  <si>
    <t>Konica Minolta Technology Center, Inc.</t>
  </si>
  <si>
    <t>KRS Electronics Co., Ltd.</t>
  </si>
  <si>
    <t>KUMAHIRA Co., Ltd.</t>
  </si>
  <si>
    <t>Langchao LG Digital Mobile Communication Co. Ltd.</t>
  </si>
  <si>
    <t>Leadtek Research Inc.</t>
  </si>
  <si>
    <t>LeapFrog Enterprises, Inc.</t>
  </si>
  <si>
    <t>Lecip Corporation</t>
  </si>
  <si>
    <t>Leica Geosystems AG</t>
  </si>
  <si>
    <t>Lenco Benelux b.v.</t>
  </si>
  <si>
    <t>Lex Computech Co., LTD.</t>
  </si>
  <si>
    <t>Library Video Company dba SAFARI Montage</t>
  </si>
  <si>
    <t>LibreStream Technologies Inc.</t>
  </si>
  <si>
    <t>litl LLC</t>
  </si>
  <si>
    <t>Logitech Europe S.A.</t>
  </si>
  <si>
    <t>Mad Catz Interactive, Inc.</t>
  </si>
  <si>
    <t>MainConcept GmbH</t>
  </si>
  <si>
    <t>Makayama Media B.V.</t>
  </si>
  <si>
    <t>March Networks Corporation</t>
  </si>
  <si>
    <t>Matsunichi Digital USA Inc.</t>
  </si>
  <si>
    <t>MegaChips Corporation</t>
  </si>
  <si>
    <t>Merit LILIN Ent. Co., Ltd.</t>
  </si>
  <si>
    <t>Milestone Systems A/S</t>
  </si>
  <si>
    <t>MILLENNIUM 2000 GmbH</t>
  </si>
  <si>
    <t>MINOX GmbH Optische und Feinmechanische Werke</t>
  </si>
  <si>
    <t>Mitsubishi Electric Building Techno-Service Co., Ltd.</t>
  </si>
  <si>
    <t>MobiWire SAS</t>
  </si>
  <si>
    <t>Mobixell Networks (Israel) Ltd.</t>
  </si>
  <si>
    <t>Motorola Mobility LLC</t>
  </si>
  <si>
    <t>Mundo Reader, S.L.</t>
  </si>
  <si>
    <t>Mu-tech Co., Ltd.</t>
  </si>
  <si>
    <t>nac Image Technology Inc.</t>
  </si>
  <si>
    <t>Natus Neurology Inc.</t>
  </si>
  <si>
    <t>NEC Australia Pty. Ltd.</t>
  </si>
  <si>
    <t>NEC Corporation of America</t>
  </si>
  <si>
    <t>NEC Nederland b.v.</t>
  </si>
  <si>
    <t>NEC Platforms, Ltd.</t>
  </si>
  <si>
    <t>Nessy Learning Limited</t>
  </si>
  <si>
    <t>Neusoft Corporation</t>
  </si>
  <si>
    <t>NexStreaming Corporation</t>
  </si>
  <si>
    <t>NextD Technologies, Inc.</t>
  </si>
  <si>
    <t>Nicetex Electronics Ltd.</t>
  </si>
  <si>
    <t>NIFTY Corporation</t>
  </si>
  <si>
    <t>NL Technology, LLC</t>
  </si>
  <si>
    <t>Nokia Corporation</t>
  </si>
  <si>
    <t>Northrop Grumman Sperry Marine BV</t>
  </si>
  <si>
    <t>NTT Software Corporation</t>
  </si>
  <si>
    <t>Olympus Corporation</t>
  </si>
  <si>
    <t>Olympus Soft Imaging Solutions GmbH</t>
  </si>
  <si>
    <t>Omniverse One World Television, Inc.</t>
  </si>
  <si>
    <t>Omron Social Solutions Co., Ltd.</t>
  </si>
  <si>
    <t>Orange SA</t>
  </si>
  <si>
    <t>Ottawa Area Intermediate School District</t>
  </si>
  <si>
    <t>Ouya, Inc.</t>
  </si>
  <si>
    <t>Panasonic Automotive Systems Asia Pacific (Thailand) Co., Ltd.</t>
  </si>
  <si>
    <t>Panasonic Automotive Systems Dalian Co., Ltd.</t>
  </si>
  <si>
    <t>Panasonic AVC Networks Czech Republic s.r.o.</t>
  </si>
  <si>
    <t>Panasonic AVC Networks Johor Malaysia Sdn. Bhd.</t>
  </si>
  <si>
    <t>Panasonic Avionics Corporation</t>
  </si>
  <si>
    <t>Panasonic Marketing CIS OY</t>
  </si>
  <si>
    <t>Panasonic Marketing Europe GmbH</t>
  </si>
  <si>
    <t>Panasonic Mobile Communications Co., Ltd.</t>
  </si>
  <si>
    <t>Panasonic System Networks (Suzhou) Co., Ltd</t>
  </si>
  <si>
    <t>Panasonic System Networks Co., Ltd.</t>
  </si>
  <si>
    <t>Panasonic Taiwan Co., Ltd.</t>
  </si>
  <si>
    <t>Parrot Automotive SAS</t>
  </si>
  <si>
    <t>Parrot Drones SAS</t>
  </si>
  <si>
    <t>Parrot SA</t>
  </si>
  <si>
    <t>Perception Digital Limited</t>
  </si>
  <si>
    <t>Pivos Technology Group, Inc.</t>
  </si>
  <si>
    <t>Premier Farnell plc</t>
  </si>
  <si>
    <t>Prowise Concepts BV</t>
  </si>
  <si>
    <t>PTC Inc.</t>
  </si>
  <si>
    <t>QNAP Systems, Inc.</t>
  </si>
  <si>
    <t>Raberles Investments Ltd</t>
  </si>
  <si>
    <t>Raymarine UK Ltd</t>
  </si>
  <si>
    <t>Ricoh Imaging Company, Ltd.</t>
  </si>
  <si>
    <t>RN Aquisition Corp.</t>
  </si>
  <si>
    <t>RoyalTek Company Ltd.</t>
  </si>
  <si>
    <t>RS Components Ltd.</t>
  </si>
  <si>
    <t>Russell Distribution Company, LLC</t>
  </si>
  <si>
    <t>RVC B.V.</t>
  </si>
  <si>
    <t>Saab AB</t>
  </si>
  <si>
    <t>Salient Systems Corporation</t>
  </si>
  <si>
    <t>SanDisk Manufacturing Ltd.</t>
  </si>
  <si>
    <t>SANYO Electric Co., Ltd.</t>
  </si>
  <si>
    <t>Saver Corporation</t>
  </si>
  <si>
    <t>SAXA, Inc.</t>
  </si>
  <si>
    <t>Schneider Automation SAS</t>
  </si>
  <si>
    <t>School Zone Publishing</t>
  </si>
  <si>
    <t>Scott Technologies, Inc.</t>
  </si>
  <si>
    <t>SCSK Corporation</t>
  </si>
  <si>
    <t>SECOM CO., LTD.</t>
  </si>
  <si>
    <t>Selea Srl</t>
  </si>
  <si>
    <t>Select-TV Solutions Sdn. Bhd.</t>
  </si>
  <si>
    <t>Sensormatic Electronics, LLC</t>
  </si>
  <si>
    <t>Sentient Vision Systems Pty Ltd</t>
  </si>
  <si>
    <t>Seon Design Inc.</t>
  </si>
  <si>
    <t>Shanghai Suoguang Electronics Co., Ltd.</t>
  </si>
  <si>
    <t>Shanghai Suoguang Visual Products Co., Ltd.</t>
  </si>
  <si>
    <t>Shenzhen Kaifa Technology Co., Ltd.</t>
  </si>
  <si>
    <t>Shenzhen Vogue Industrial Co., Ltd</t>
  </si>
  <si>
    <t>Sighthound Inc.</t>
  </si>
  <si>
    <t>Signal Communications Limited</t>
  </si>
  <si>
    <t>Skillsoft Corporation</t>
  </si>
  <si>
    <t>Sky Co., Ltd.</t>
  </si>
  <si>
    <t>Sky Light Imaging Limited</t>
  </si>
  <si>
    <t>Skype Technologies SA</t>
  </si>
  <si>
    <t>S-link AB</t>
  </si>
  <si>
    <t>S-link ssp</t>
  </si>
  <si>
    <t>Smartphone Innovations Srl</t>
  </si>
  <si>
    <t>Softfront</t>
  </si>
  <si>
    <t>Solicode Ltd.</t>
  </si>
  <si>
    <t>Sony (China) Limited</t>
  </si>
  <si>
    <t>Sony Brasil Ltda.</t>
  </si>
  <si>
    <t>Sony Business Solutions Corporation</t>
  </si>
  <si>
    <t>Sony Computer Entertainment Inc.</t>
  </si>
  <si>
    <t>Sony Digital Network Applications, Inc.</t>
  </si>
  <si>
    <t>Sony Electronics Inc.</t>
  </si>
  <si>
    <t>Sony EMCS (Malaysia) Sdn Bhd</t>
  </si>
  <si>
    <t>Sony Europe Limited</t>
  </si>
  <si>
    <t>Sony Hungaria kft, Goedoelloe Plant</t>
  </si>
  <si>
    <t>Sony India Private Limited</t>
  </si>
  <si>
    <t>Sony Inter-American, S.A.</t>
  </si>
  <si>
    <t>Sony International (Hong Kong) Ltd.</t>
  </si>
  <si>
    <t>Sony Latin America Inc.</t>
  </si>
  <si>
    <t>Sony Mobile Communications (China) Co. Ltd.</t>
  </si>
  <si>
    <t>Sony Mobile Communications (USA) Inc.</t>
  </si>
  <si>
    <t>Sony Mobile Communications Inc.</t>
  </si>
  <si>
    <t>Sony Taiwan Limited</t>
  </si>
  <si>
    <t>Sony Technology (Thailand) Co., Ltd.</t>
  </si>
  <si>
    <t>Sony Video &amp; Sound Products Inc.</t>
  </si>
  <si>
    <t>Sony Visual Products Inc.</t>
  </si>
  <si>
    <t>Space-Time Engineering, LLC</t>
  </si>
  <si>
    <t>SPHINX sh.p.k.</t>
  </si>
  <si>
    <t>SpinetiX AG</t>
  </si>
  <si>
    <t>Splasm Software, Inc.</t>
  </si>
  <si>
    <t>Sportingmindz Technology Pvt. Ltd.</t>
  </si>
  <si>
    <t>St. Jude Medical, Atrial Fibrillation Division, Inc.</t>
  </si>
  <si>
    <t>StreamWIDE SA</t>
  </si>
  <si>
    <t>Syabas Technology, Hong Kong, Limited</t>
  </si>
  <si>
    <t>Synology Inc.</t>
  </si>
  <si>
    <t>SZ TELSTAR CO., LTD.</t>
  </si>
  <si>
    <t>TableTop Media, LLC</t>
  </si>
  <si>
    <t>Team Research Inc.</t>
  </si>
  <si>
    <t>Technicolor Connected Home USA LLC</t>
  </si>
  <si>
    <t>Technicolor Delivery Technologies Australia Pty Ltd.</t>
  </si>
  <si>
    <t>Technicolor Delivery Technologies SAS</t>
  </si>
  <si>
    <t>Technicolor SA</t>
  </si>
  <si>
    <t>TechniSat Digital GmbH</t>
  </si>
  <si>
    <t>Tecplot, Inc.</t>
  </si>
  <si>
    <t>Teleste Electronics (SIP) Co. Ltd</t>
  </si>
  <si>
    <t>Teleste GMBH</t>
  </si>
  <si>
    <t>Teleste LLC</t>
  </si>
  <si>
    <t>Teleste Slovenia d.o.o</t>
  </si>
  <si>
    <t>Teleste UK Ltd</t>
  </si>
  <si>
    <t>TH Leaguer Sensory Technology (Shenzhen) Co., Ltd.</t>
  </si>
  <si>
    <t>Thales Australia Limited</t>
  </si>
  <si>
    <t>Thales Nederland B.V.</t>
  </si>
  <si>
    <t>The Foundry Visionmongers Ltd</t>
  </si>
  <si>
    <t>Thinxtream Technologies Pte. Ltd.</t>
  </si>
  <si>
    <t>Thomson Multimedia Ltda.</t>
  </si>
  <si>
    <t>Thought Technology Ltd.</t>
  </si>
  <si>
    <t>TOA Corporation</t>
  </si>
  <si>
    <t>Tomra Systems ASA</t>
  </si>
  <si>
    <t>TomTom International B.V.</t>
  </si>
  <si>
    <t>TOMY Company, Ltd.</t>
  </si>
  <si>
    <t>Topview Optronics Corp.</t>
  </si>
  <si>
    <t>Toshiba IT &amp; Control Systems Corporation</t>
  </si>
  <si>
    <t>Toshiba Medical Systems Corporation</t>
  </si>
  <si>
    <t>Trajet GmbH</t>
  </si>
  <si>
    <t>Trellis Management Co. Ltd.</t>
  </si>
  <si>
    <t>Tridium, Inc.</t>
  </si>
  <si>
    <t>TSX Race Products Ltd.</t>
  </si>
  <si>
    <t>Tunbow Electronics Limited</t>
  </si>
  <si>
    <t>Turbolinux, Inc.</t>
  </si>
  <si>
    <t>ubicast Corporation</t>
  </si>
  <si>
    <t>Ubitus Corp.</t>
  </si>
  <si>
    <t>Unigraf Oy</t>
  </si>
  <si>
    <t>Unitronics (1989)(R"G) Ltd.</t>
  </si>
  <si>
    <t>Universal Electronics, Inc.</t>
  </si>
  <si>
    <t>UTStarcom, Inc.</t>
  </si>
  <si>
    <t>Valvova Oy</t>
  </si>
  <si>
    <t>VeaMea B.V.</t>
  </si>
  <si>
    <t>Ventuz Technology, GmbH</t>
  </si>
  <si>
    <t>VeriFone, Inc.</t>
  </si>
  <si>
    <t>Verint Systems Ltd.</t>
  </si>
  <si>
    <t>Viking Informatics Limited Partnership</t>
  </si>
  <si>
    <t>Vivotek Inc.</t>
  </si>
  <si>
    <t>Vizio, Inc.</t>
  </si>
  <si>
    <t>VODAFONE OMNITEL N.V.</t>
  </si>
  <si>
    <t>VTech Electronics Ltd</t>
  </si>
  <si>
    <t>WAM!NET Japan K.K.</t>
  </si>
  <si>
    <t>Watchfire Signs LLC</t>
  </si>
  <si>
    <t>Wavestore Ltd</t>
  </si>
  <si>
    <t>Wikipad Inc.</t>
  </si>
  <si>
    <t>Wild Divine, Inc.</t>
  </si>
  <si>
    <t>XCast Labs, Inc.</t>
  </si>
  <si>
    <t>Xovis AG</t>
  </si>
  <si>
    <t>Ya Horng Electronic Co., Ltd.</t>
  </si>
  <si>
    <t>Yahoo!</t>
  </si>
  <si>
    <t>Zhejiang Dahua Technology Co., Ltd.</t>
  </si>
  <si>
    <t>ZinGarr Sales &amp; Marketing, LLC</t>
  </si>
  <si>
    <t>Zoom Corporation</t>
  </si>
  <si>
    <t>Zound Industries Smartpho</t>
  </si>
  <si>
    <t>MPEG2 vs. MPEG4</t>
  </si>
  <si>
    <t>The Moving Pictures Experts Group, or MPEG, is the body responsible for the standards that we often use for video encoding. MPEG2 is the standard that was created to encode high quality videos, meant to be used for the, then emerging, DVD media. MPEG4 was developed much later, as an encoding method for devices with limited resources. Portable devices, like media players and mobile phones, use this format, as well as online stores who provide the hiring of video and audio files.</t>
  </si>
  <si>
    <t>MPEG4 is the preferred format for devices, as it yields a file that is under 1G for most full length movies. This is a far cry from MPEG2, which can only produce files with five times the size. Storing MPEG2 files will not be a problem on DVDs, as the usual DVD capacity is over 4GB, but is a major issue with portable devices. MPEG4 also made it practical to buy and download videos online, as MPEG2 videos are quite large, and take a long time to download. The small file size of MPEG4 files directly translates to a lower bandwidth needed, when streaming recorded or real-time videos through the internet.</t>
  </si>
  <si>
    <t>Setting file size aside when considering the better format, MPEG2 wins hands-down, as it provides a far superior image quality. The difference in quality is minor when viewing the files through a tiny screen, like those installed in mobile phones and even netbooks, but when it comes to large displays, like most current HDTV displays, you can clearly notice the difference in the final picture. We can attribute this to the amount of data lost, since both MPEG2 and MPEG4 are compression methods that lose data. MPEG4 simply discards more information, which results in poorer picture.</t>
  </si>
  <si>
    <t>MPEG2 compresses the video by discarding the information in portions of the image that do not change from one frame to another, and saving only the portions of the image where new information is added. The MPEG4 compression mechanism is a bit more complicated compared to that of MPEG2, as it needs better algorithms to scan and determine which pixels can be discarded, to reduce the data even further.</t>
  </si>
  <si>
    <t>Royalties on MPEG4</t>
  </si>
  <si>
    <t>Licensors of MPEG4 as of June 2016</t>
  </si>
  <si>
    <t>Licensees and Affiliates of MPEG4 in Good Standing as of June 2016</t>
  </si>
  <si>
    <t>Royalty Rate for MPEG4</t>
  </si>
  <si>
    <t>From: MPEG-4 Visual
Patent Portfolio
License Briefing*</t>
  </si>
  <si>
    <t>http://www.mpegla.com/main/programs/M4V/Pages/AgreementExpress.aspx</t>
  </si>
  <si>
    <t>Accessed June 25, 2016</t>
  </si>
  <si>
    <t>MPEG-4 Visual License Terms:</t>
  </si>
  <si>
    <t>Decoders and Encoders</t>
  </si>
  <si>
    <t>• Decoders sold to end users and/or as Fully Functioning for PCs</t>
  </si>
  <si>
    <t>o 0 ‐ 50,000 decoders/year = no royalty (available to one legal entity in an</t>
  </si>
  <si>
    <t>affiliated group)</t>
  </si>
  <si>
    <t>o US $0.25* per decoder after first 50,000 decoders/year</t>
  </si>
  <si>
    <t>o Annual cap per Legal Entity: $1M per year prior to 2009; $1.1M in 2009; $1.2M</t>
  </si>
  <si>
    <t>in 2010; $1.25M after 2010</t>
  </si>
  <si>
    <t>• Encoders sold to end users and/or as Fully Functioning for PCs</t>
  </si>
  <si>
    <t>o 0 ‐ 50,000 encoders/year = no royalty (available to one legal entity in an</t>
  </si>
  <si>
    <t>o US $0.25* per encoder after first 50,000 encoders/year</t>
  </si>
  <si>
    <t>• Enterprise cap ‐ $3M per year prior to 2009; $3.3M in 2009; $3.6M in 2010;</t>
  </si>
  <si>
    <t>$3.75M after 2010</t>
  </si>
  <si>
    <t>• Includes make, sell and limited right of personal consumer use (e.g.,</t>
  </si>
  <si>
    <t>in connection with a video teleconference or mobile messaging)</t>
  </si>
  <si>
    <t>• Royalties payable on products from January 1, 2004</t>
  </si>
  <si>
    <t>*A licensee may elect to pay US $0.24 for every product whether or not manufactured or</t>
  </si>
  <si>
    <t>sold in a patent country without reporting country of manufacture and country of sale</t>
  </si>
  <si>
    <t>Also See: https://www.gartner.com/doc/364870/new-mpeg-licensing-fees-don’t</t>
  </si>
  <si>
    <t>http://www.streamcrest.com/MPEG-4%20License%20Proposals1.pdf</t>
  </si>
  <si>
    <t>http://www.streamcrest.com/MPEG-4%20License%20Proposals.pdf</t>
  </si>
  <si>
    <t>Worldwide Sales of Smartphones by IC Insights</t>
  </si>
  <si>
    <t>OPPO</t>
  </si>
  <si>
    <t>Vivo</t>
  </si>
  <si>
    <t>LG</t>
  </si>
  <si>
    <t>TCL</t>
  </si>
  <si>
    <t>Meizu</t>
  </si>
  <si>
    <t>Units</t>
  </si>
  <si>
    <t>Smartphones m</t>
  </si>
  <si>
    <t>Other</t>
  </si>
  <si>
    <t>http://www.eetimes.com/document.asp?doc_id=1329884&amp;_mc=RSS_EET_EDT</t>
  </si>
  <si>
    <t>Walton Group</t>
  </si>
  <si>
    <t>Gradiente</t>
  </si>
  <si>
    <t>Positivo</t>
  </si>
  <si>
    <t>BlackBerry</t>
  </si>
  <si>
    <t>DataWind</t>
  </si>
  <si>
    <t>Alcatel (subsidiary of TCL Corporation)</t>
  </si>
  <si>
    <t>Amoi</t>
  </si>
  <si>
    <t>BBK</t>
  </si>
  <si>
    <t>Coolpad</t>
  </si>
  <si>
    <t>Cubot</t>
  </si>
  <si>
    <t>Gfive</t>
  </si>
  <si>
    <t>Gionee</t>
  </si>
  <si>
    <t>Haier</t>
  </si>
  <si>
    <t>Hisense</t>
  </si>
  <si>
    <t>Konka</t>
  </si>
  <si>
    <t>Lenovo (also its subsidiary Motorola Mobility)</t>
  </si>
  <si>
    <t>Letv</t>
  </si>
  <si>
    <t>OnePlus (subsidiary of BBK)</t>
  </si>
  <si>
    <t>Oppo (subsidiary of BBK)</t>
  </si>
  <si>
    <t>Qihoo 360</t>
  </si>
  <si>
    <t>QiKU (joint venture of Qihoo 360 and Coolpad)</t>
  </si>
  <si>
    <t>Ningbo Bird</t>
  </si>
  <si>
    <t>Smartisan</t>
  </si>
  <si>
    <t>TCL Corporation (Alcatel-Lucent later sold its shares in TCL and is no longer related to the Alcatel Mobile Phones brand)</t>
  </si>
  <si>
    <t>Technology Happy Life</t>
  </si>
  <si>
    <t>Vivo (subsidiary of BBK)</t>
  </si>
  <si>
    <t>Vsun (subsidiary of BBK)</t>
  </si>
  <si>
    <t>Wasam</t>
  </si>
  <si>
    <t>Zopo Mobile</t>
  </si>
  <si>
    <t>ZUK Mobile (subsidiary of Lenovo)</t>
  </si>
  <si>
    <t>Jablotron</t>
  </si>
  <si>
    <t>Verzo</t>
  </si>
  <si>
    <t>Lumigon (made by BYD Electronic of China)</t>
  </si>
  <si>
    <t>Jolla (designed in Finland)</t>
  </si>
  <si>
    <t>Microsoft Mobile (formerly Nokia)</t>
  </si>
  <si>
    <t>Alcatel-Lucent</t>
  </si>
  <si>
    <t>Archos</t>
  </si>
  <si>
    <t>Groupe Bull</t>
  </si>
  <si>
    <t>MobiWire (formerly Sagem Wireless)</t>
  </si>
  <si>
    <t>Wiko</t>
  </si>
  <si>
    <t>AEG</t>
  </si>
  <si>
    <t>Grundig Mobile</t>
  </si>
  <si>
    <t>Medion (headquartered in Germany, subsidiary of Lenovo of China)</t>
  </si>
  <si>
    <t>Siemens (discontinued)</t>
  </si>
  <si>
    <t>Telefunken</t>
  </si>
  <si>
    <t>Tiptel</t>
  </si>
  <si>
    <t>Celkon</t>
  </si>
  <si>
    <t>IBall</t>
  </si>
  <si>
    <t>Intex Technologies</t>
  </si>
  <si>
    <t>Karbonn Mobiles</t>
  </si>
  <si>
    <t>Lava International</t>
  </si>
  <si>
    <t>LYF</t>
  </si>
  <si>
    <t>Micromax Informatics</t>
  </si>
  <si>
    <t>Onida Electronics</t>
  </si>
  <si>
    <t>Ringing Bells</t>
  </si>
  <si>
    <t>Spice Digital</t>
  </si>
  <si>
    <t>Videocon</t>
  </si>
  <si>
    <t>Xolo</t>
  </si>
  <si>
    <t>YU Televentures</t>
  </si>
  <si>
    <t>Nexian</t>
  </si>
  <si>
    <t>Evercoss</t>
  </si>
  <si>
    <t>MITO</t>
  </si>
  <si>
    <t>Polytron</t>
  </si>
  <si>
    <t>Advan</t>
  </si>
  <si>
    <t>Brondi</t>
  </si>
  <si>
    <t>NGM</t>
  </si>
  <si>
    <t>Olivetti</t>
  </si>
  <si>
    <t>Onda Mobile Communication</t>
  </si>
  <si>
    <t>Telit (discontinued)</t>
  </si>
  <si>
    <t>Fujitsu</t>
  </si>
  <si>
    <t>Kyocera Communications</t>
  </si>
  <si>
    <t>Mitsubishi Electric (discontinued)</t>
  </si>
  <si>
    <t>NEC</t>
  </si>
  <si>
    <t>NEC Casio Mobile Communications</t>
  </si>
  <si>
    <t>Panasonic</t>
  </si>
  <si>
    <t>Sanyo (discontinued)</t>
  </si>
  <si>
    <t>Sansui</t>
  </si>
  <si>
    <t>Sony Mobile Communications</t>
  </si>
  <si>
    <t>Toshiba - (discontinued and moved to tablets only)</t>
  </si>
  <si>
    <t>DoCoMo</t>
  </si>
  <si>
    <t>Just5</t>
  </si>
  <si>
    <t>M Dot</t>
  </si>
  <si>
    <t>Ninetology</t>
  </si>
  <si>
    <t>Kyoto Electronics</t>
  </si>
  <si>
    <t>Lanix</t>
  </si>
  <si>
    <t>Fairphone</t>
  </si>
  <si>
    <t>John's Phone</t>
  </si>
  <si>
    <t>Philips</t>
  </si>
  <si>
    <t>Koryolink</t>
  </si>
  <si>
    <t>QMobile</t>
  </si>
  <si>
    <t>Voice Mobile</t>
  </si>
  <si>
    <t>Advance Telecom</t>
  </si>
  <si>
    <t>United Mobile</t>
  </si>
  <si>
    <t>MyPhone</t>
  </si>
  <si>
    <t>Cherry Mobile</t>
  </si>
  <si>
    <t>Starmobile</t>
  </si>
  <si>
    <t>Kruger&amp;Matz</t>
  </si>
  <si>
    <t>Manta Multimedia</t>
  </si>
  <si>
    <t>myPhone</t>
  </si>
  <si>
    <t>Allview</t>
  </si>
  <si>
    <t>Beeline</t>
  </si>
  <si>
    <t>Explay (become subsidiary of Fly in 2015[1])</t>
  </si>
  <si>
    <t>Gresso</t>
  </si>
  <si>
    <t>Highscreen</t>
  </si>
  <si>
    <t>Megafon</t>
  </si>
  <si>
    <t>MTS</t>
  </si>
  <si>
    <t>RoverPC</t>
  </si>
  <si>
    <t>teXet</t>
  </si>
  <si>
    <t>Sitronics</t>
  </si>
  <si>
    <t>Yotaphone</t>
  </si>
  <si>
    <t>KT Tech</t>
  </si>
  <si>
    <t>Pantech</t>
  </si>
  <si>
    <t>VK Mobile (discontinued)</t>
  </si>
  <si>
    <t>Bq</t>
  </si>
  <si>
    <t>GeeksPhone</t>
  </si>
  <si>
    <t>Vitelcom (discontinued)</t>
  </si>
  <si>
    <t>Doro</t>
  </si>
  <si>
    <t>Ericsson (discontinued)</t>
  </si>
  <si>
    <t>Handheld Group</t>
  </si>
  <si>
    <t>Acer</t>
  </si>
  <si>
    <t>Asus</t>
  </si>
  <si>
    <t>BenQ</t>
  </si>
  <si>
    <t>DBTel</t>
  </si>
  <si>
    <t>Dopod</t>
  </si>
  <si>
    <t>E-TEN (discontinued)</t>
  </si>
  <si>
    <t>Gigabyte Technology</t>
  </si>
  <si>
    <t>AIS</t>
  </si>
  <si>
    <t>DTAC</t>
  </si>
  <si>
    <t>Wellcom</t>
  </si>
  <si>
    <t>I-Mobile</t>
  </si>
  <si>
    <t>EvertekTunisie</t>
  </si>
  <si>
    <t>Vestel</t>
  </si>
  <si>
    <t>Aselsan</t>
  </si>
  <si>
    <t>Thuraya</t>
  </si>
  <si>
    <t>Binatone</t>
  </si>
  <si>
    <t>Bullitt Group</t>
  </si>
  <si>
    <t>INQ (discontinued)</t>
  </si>
  <si>
    <t>Kazam</t>
  </si>
  <si>
    <t>Marshall Amplification</t>
  </si>
  <si>
    <t>Sendo (discontinued)</t>
  </si>
  <si>
    <t>Vertu</t>
  </si>
  <si>
    <t>Vodafone</t>
  </si>
  <si>
    <t>Wileyfox</t>
  </si>
  <si>
    <t>Amazon</t>
  </si>
  <si>
    <t>AT&amp;T</t>
  </si>
  <si>
    <t>BLU Products</t>
  </si>
  <si>
    <t>Caterpillar</t>
  </si>
  <si>
    <t>Dell</t>
  </si>
  <si>
    <t>Energizer</t>
  </si>
  <si>
    <t>Firefly</t>
  </si>
  <si>
    <t>Garmin</t>
  </si>
  <si>
    <t>Google Nexus</t>
  </si>
  <si>
    <t>HP</t>
  </si>
  <si>
    <t>InFocus</t>
  </si>
  <si>
    <t>InfoSonics[2]</t>
  </si>
  <si>
    <t>Microsoft Mobile</t>
  </si>
  <si>
    <t>Motorola Mobility (headquartered in the United States, subsidiary of Lenovo of China)[3]</t>
  </si>
  <si>
    <t>Obi Worldphone</t>
  </si>
  <si>
    <t>Nextbit</t>
  </si>
  <si>
    <t>Country</t>
  </si>
  <si>
    <t>OEM</t>
  </si>
  <si>
    <t>Bangladesh</t>
  </si>
  <si>
    <t>Brazil</t>
  </si>
  <si>
    <t>Canada</t>
  </si>
  <si>
    <t>China</t>
  </si>
  <si>
    <t>Denmark</t>
  </si>
  <si>
    <t>Finland</t>
  </si>
  <si>
    <t>France</t>
  </si>
  <si>
    <t>Germay</t>
  </si>
  <si>
    <t>India</t>
  </si>
  <si>
    <t>Indonesia</t>
  </si>
  <si>
    <t>Italy</t>
  </si>
  <si>
    <t>Japan</t>
  </si>
  <si>
    <t>Latvia</t>
  </si>
  <si>
    <t>Malaysia</t>
  </si>
  <si>
    <t>Mexico</t>
  </si>
  <si>
    <t>Netherlands</t>
  </si>
  <si>
    <t>North Korea</t>
  </si>
  <si>
    <t>Pakistan</t>
  </si>
  <si>
    <t>Philippines</t>
  </si>
  <si>
    <t>Poland</t>
  </si>
  <si>
    <t>Romania</t>
  </si>
  <si>
    <t>Russia</t>
  </si>
  <si>
    <t>South Korea</t>
  </si>
  <si>
    <t>Sweden</t>
  </si>
  <si>
    <t>Taiwan</t>
  </si>
  <si>
    <t>Thailand</t>
  </si>
  <si>
    <t>Tunisia</t>
  </si>
  <si>
    <t>Turkey</t>
  </si>
  <si>
    <t>United Arab Emirates</t>
  </si>
  <si>
    <t>United Kingdom</t>
  </si>
  <si>
    <t>United States</t>
  </si>
  <si>
    <t>Czech Republic[</t>
  </si>
  <si>
    <t>Not discontinued</t>
  </si>
  <si>
    <t>Spain</t>
  </si>
  <si>
    <t>List of Mobile Phone Manufacturers, by Country, According to Wikipedia</t>
  </si>
  <si>
    <t>Background on MPEG4</t>
  </si>
  <si>
    <t xml:space="preserve">We assume that a smartphone would need both an encoder and decoder, at a combined royalty of $0.50 per device. </t>
  </si>
  <si>
    <t>The Enterprise Cap is $3.75m</t>
  </si>
  <si>
    <t xml:space="preserve">Thus, a manufacturer would only need to sell 7.5m phones in order to hit the cap. </t>
  </si>
  <si>
    <t>We therefore assume that all manufacturers pay the enterprise cap.  This will bias results upwards, in the event that there</t>
  </si>
  <si>
    <t xml:space="preserve">are OEMs who produce less than 7.5m units per year. </t>
  </si>
  <si>
    <t xml:space="preserve">We also assume that separate subsidiaries of a holding company are individual enterprises. Each would have to pay the cap. </t>
  </si>
  <si>
    <t xml:space="preserve">who pay royalities to MPEGLA for MPEG4.   We obtain this number as follows. </t>
  </si>
  <si>
    <t>Wikipedia provides a list of Mobile Phone Manufacturers Worldwide, by Country</t>
  </si>
  <si>
    <t>https://en.wikipedia.org/wiki/List_of_mobile_phone_makers_by_country</t>
  </si>
  <si>
    <t>http://www.mpegla.com/main/programs/M4V/Pages/Licensees.aspx</t>
  </si>
  <si>
    <t>MPEG4 provides a list of the licensees (accessed June 25, 2016).  Most of these are NOT phone OEMs, but manufacture other products</t>
  </si>
  <si>
    <t xml:space="preserve">The smartphone producers who pay royalties to MPEG4 are the intersection of these two lists.  </t>
  </si>
  <si>
    <t>Many of these only make feature phones--not smartphones.  They are ultra low cost OEMs.</t>
  </si>
  <si>
    <t>Firms that are both mobile phone OEMs and MPEG4 Licensees</t>
  </si>
  <si>
    <t>MPEG LA H.264</t>
  </si>
  <si>
    <t>Cisco Systems Canada Co.</t>
  </si>
  <si>
    <t>Cisco Technology, Inc.</t>
  </si>
  <si>
    <t>Dolby International AB</t>
  </si>
  <si>
    <t>Electronics and Telecommunications Research Institute</t>
  </si>
  <si>
    <t>GE Video Compression, LLC</t>
  </si>
  <si>
    <t>Godo Kaisha IP Bridge1</t>
  </si>
  <si>
    <t>Korea Advanced Institute of Science and Technology (KAIST)</t>
  </si>
  <si>
    <t>NEWRACOM, Inc.*</t>
  </si>
  <si>
    <t>NTT DOCOMO, INC.</t>
  </si>
  <si>
    <t>Polycom, Inc.</t>
  </si>
  <si>
    <t>Tagivan II, LLC</t>
  </si>
  <si>
    <t>Telefonaktiebolaget LM Ericsson</t>
  </si>
  <si>
    <t xml:space="preserve">The Trustees of Columbia University in the City of New York </t>
  </si>
  <si>
    <t>Vidyo, Inc.</t>
  </si>
  <si>
    <t>ZTE Corporation*</t>
  </si>
  <si>
    <t>Licensees (as of June 25 2016, when MPEGLA website accessed)</t>
  </si>
  <si>
    <t>360fly, Inc.</t>
  </si>
  <si>
    <t>3am Digital Studios LLC</t>
  </si>
  <si>
    <t>3dtv.at</t>
  </si>
  <si>
    <t>800 Software Systems</t>
  </si>
  <si>
    <t>90 Ten Limited</t>
  </si>
  <si>
    <t>A Beka Academy, Inc.</t>
  </si>
  <si>
    <t>A&amp;E Television Networks</t>
  </si>
  <si>
    <t>A.V.M. Software, Inc.</t>
  </si>
  <si>
    <t>AB Trav och Galopp</t>
  </si>
  <si>
    <t>AbemaTV, Inc.</t>
  </si>
  <si>
    <t>Abhann Productions Ltd.</t>
  </si>
  <si>
    <t>Accellence Technologies GmbH</t>
  </si>
  <si>
    <t>Ace Metrix</t>
  </si>
  <si>
    <t>Actvila Corporation</t>
  </si>
  <si>
    <t>Adatis GmbH &amp; Co. KG</t>
  </si>
  <si>
    <t>Adobe Systems Incorporated</t>
  </si>
  <si>
    <t>Afterlive.tv, Inc d/b/a SnappyTV</t>
  </si>
  <si>
    <t>Aichi Television Broadcasting Co., Ltd.</t>
  </si>
  <si>
    <t>Aiphone Co., Ltd.</t>
  </si>
  <si>
    <t>Airbus DS Optronics GmbH</t>
  </si>
  <si>
    <t>Airespring, Inc.</t>
  </si>
  <si>
    <t>AJA Video Systems Inc.</t>
  </si>
  <si>
    <t>Akita Broadcasting System</t>
  </si>
  <si>
    <t>Akita Television Co., Ltd.</t>
  </si>
  <si>
    <t>Alan Electronics GmbH</t>
  </si>
  <si>
    <t>Alaska Communications Systems Holdings, Inc.</t>
  </si>
  <si>
    <t>Altech Multimedia (Pty) Ltd</t>
  </si>
  <si>
    <t>Always True Designs, LLC</t>
  </si>
  <si>
    <t>AlwaysOn Technologies, Inc.</t>
  </si>
  <si>
    <t>Amare Inc DBA Amare Advice Inc</t>
  </si>
  <si>
    <t>Amazon Digital Services, Inc.</t>
  </si>
  <si>
    <t>Amestage, Inc.</t>
  </si>
  <si>
    <t>AMG Systems Ltd.</t>
  </si>
  <si>
    <t>Andrey Kireev Viinex</t>
  </si>
  <si>
    <t>Anite plc.</t>
  </si>
  <si>
    <t>Antenna Hungaria Ltd.</t>
  </si>
  <si>
    <t>Anyware Video</t>
  </si>
  <si>
    <t>AOL Inc.</t>
  </si>
  <si>
    <t>Aomori Broadcasting Corporation</t>
  </si>
  <si>
    <t>Apex Inc.</t>
  </si>
  <si>
    <t>Apptopus, Inc.</t>
  </si>
  <si>
    <t>ARH Inc.</t>
  </si>
  <si>
    <t>Asahi Broadcasting Corporation</t>
  </si>
  <si>
    <t>Asahi Broadcasting Nagano Co., Ltd.</t>
  </si>
  <si>
    <t>Asari Technologies Ltd.</t>
  </si>
  <si>
    <t>Assimilate Inc.</t>
  </si>
  <si>
    <t>Atmark Techno, Inc.</t>
  </si>
  <si>
    <t>AVALDATA Corporation</t>
  </si>
  <si>
    <t>Avaya Inc.</t>
  </si>
  <si>
    <t>AVYCON</t>
  </si>
  <si>
    <t>BAE Systems plc.</t>
  </si>
  <si>
    <t>BalaBit SA</t>
  </si>
  <si>
    <t>Bally Gaming, Inc.</t>
  </si>
  <si>
    <t>Bandai Channel Co., Ltd.</t>
  </si>
  <si>
    <t>Barco N.V.</t>
  </si>
  <si>
    <t>BaseCase Management GmbH</t>
  </si>
  <si>
    <t>Battelle Memorial Institute</t>
  </si>
  <si>
    <t>BBC Worldwide Limited</t>
  </si>
  <si>
    <t>Beijing Hanbang Technology Corp.</t>
  </si>
  <si>
    <t>Bildungshaus Schulbuchverlage Westermann Schroedel Diesterweg Schöningh Winklers GmbH</t>
  </si>
  <si>
    <t>Binatone Electronics International Limited</t>
  </si>
  <si>
    <t>Biscotti Inc.</t>
  </si>
  <si>
    <t>Biwako Broadcasting Co., Ltd.</t>
  </si>
  <si>
    <t>BK Medical APS</t>
  </si>
  <si>
    <t>Blackboard Collaborate Inc.</t>
  </si>
  <si>
    <t>Blindside Networks Inc</t>
  </si>
  <si>
    <t>B-Line Medical, LLC</t>
  </si>
  <si>
    <t>Blinkbox Entertainment Ltd.</t>
  </si>
  <si>
    <t>Blue Star Distributors Corp.</t>
  </si>
  <si>
    <t>Bnei Baruch Association RA</t>
  </si>
  <si>
    <t>Boeing Services Deutschland GmbH</t>
  </si>
  <si>
    <t>Bomgar</t>
  </si>
  <si>
    <t>BookLive Co., Ltd.</t>
  </si>
  <si>
    <t>Box, Inc.</t>
  </si>
  <si>
    <t>BrainLAB AG</t>
  </si>
  <si>
    <t>British Academy of Film and Television Arts</t>
  </si>
  <si>
    <t>Broadband Computer Company Ltd.</t>
  </si>
  <si>
    <t>Broadcasting System of Niigata Incorporated</t>
  </si>
  <si>
    <t>Broadcasting System of San-in</t>
  </si>
  <si>
    <t>Broadvoz TI e telecomunicacoes</t>
  </si>
  <si>
    <t>Brother Industries, Ltd.</t>
  </si>
  <si>
    <t>Brother International Corporation</t>
  </si>
  <si>
    <t>Brown Bear Brown Bear, Inc.</t>
  </si>
  <si>
    <t>Cafex Communications Inc</t>
  </si>
  <si>
    <t>Camcloud Inc.</t>
  </si>
  <si>
    <t>Capester Ltd.</t>
  </si>
  <si>
    <t>Castbasics B.V.</t>
  </si>
  <si>
    <t>CBC Television Co., Ltd.</t>
  </si>
  <si>
    <t>CBS Interactive, Inc.</t>
  </si>
  <si>
    <t>Certis Technology International Pte Ltd</t>
  </si>
  <si>
    <t>CFA Institute</t>
  </si>
  <si>
    <t>Chambre des Députés</t>
  </si>
  <si>
    <t>CheckVideo LLC</t>
  </si>
  <si>
    <t>Chiba Television Broadcasting Corporation</t>
  </si>
  <si>
    <t>China Hualu Panasonic AVC Networks Co., Ltd.</t>
  </si>
  <si>
    <t>Choiceway Boan Technology Co., Ltd</t>
  </si>
  <si>
    <t>Chukyo TV. Broadcasting Co., Ltd.</t>
  </si>
  <si>
    <t>Citrix Systems, Inc.</t>
  </si>
  <si>
    <t>CityCom GmbH</t>
  </si>
  <si>
    <t>Cobra Electronics Corporation</t>
  </si>
  <si>
    <t>Cognizant Technology Solutions U.S. Corporation</t>
  </si>
  <si>
    <t>Coherent Synchro S.L.</t>
  </si>
  <si>
    <t>Combit Information Technology Ltd.</t>
  </si>
  <si>
    <t>Comrex Corporation</t>
  </si>
  <si>
    <t>Conduit, Ltd.</t>
  </si>
  <si>
    <t>CounterPath Corporation</t>
  </si>
  <si>
    <t>Crestron Electronics Inc.</t>
  </si>
  <si>
    <t>CSL Limited</t>
  </si>
  <si>
    <t>Cubitech Limited</t>
  </si>
  <si>
    <t>CUE, a.s.</t>
  </si>
  <si>
    <t>CyberAgent, Inc.</t>
  </si>
  <si>
    <t>Cybertelbridge, Co., Ltd.</t>
  </si>
  <si>
    <t>Daiichi Shokai Co., Ltd.</t>
  </si>
  <si>
    <t>DAITO GIKEN, INC.</t>
  </si>
  <si>
    <t>Dakim, Inc.</t>
  </si>
  <si>
    <t>Daktronics, Inc.</t>
  </si>
  <si>
    <t>Dassault Systèmes SA</t>
  </si>
  <si>
    <t>DAXEL INC.</t>
  </si>
  <si>
    <t>Dejero Labs Inc.</t>
  </si>
  <si>
    <t>Deluxe Digital Studios, Inc.</t>
  </si>
  <si>
    <t>Deseret Digital Media, Inc.</t>
  </si>
  <si>
    <t>Deutsche Telekom AG, T-Com</t>
  </si>
  <si>
    <t>Dickey Rural Telephone Cooperative</t>
  </si>
  <si>
    <t>DIRECTV, Inc.</t>
  </si>
  <si>
    <t>Discovery Education Europe Ltd.</t>
  </si>
  <si>
    <t>DiscretePhoton</t>
  </si>
  <si>
    <t>dit Co., Ltd.</t>
  </si>
  <si>
    <t>DMM.com Co., Ltd.</t>
  </si>
  <si>
    <t>Dobbs Stanford Corporation</t>
  </si>
  <si>
    <t>DPM Solid Polska Przeslawscy SPJ</t>
  </si>
  <si>
    <t>Dropcam, Inc.</t>
  </si>
  <si>
    <t>D-tect Systems, Inc.</t>
  </si>
  <si>
    <t>DTS, Inc.</t>
  </si>
  <si>
    <t>Duluth Church of Christ dba Truth for the World</t>
  </si>
  <si>
    <t>DWANGO Co., Ltd.</t>
  </si>
  <si>
    <t>Eagle Kingdom Technologies Ltd.</t>
  </si>
  <si>
    <t>EBNER Media &amp; Management GmbH</t>
  </si>
  <si>
    <t>Edward Kozadaev</t>
  </si>
  <si>
    <t>Ehime Asahi Television Co., Ltd.</t>
  </si>
  <si>
    <t>Ehime Broadcasting Co., Ltd.</t>
  </si>
  <si>
    <t>E-Learning Academic Network</t>
  </si>
  <si>
    <t>Electrical Geodesics, Inc.</t>
  </si>
  <si>
    <t>ELMO Company, Limited</t>
  </si>
  <si>
    <t>Emmi Solutions, LLC</t>
  </si>
  <si>
    <t>Empress Media Asset Management, LLC</t>
  </si>
  <si>
    <t>Enciris Technologies, SAS</t>
  </si>
  <si>
    <t>Ericsson AB</t>
  </si>
  <si>
    <t>Escape Motions, s.r.o.</t>
  </si>
  <si>
    <t>Eurera d.o.o.</t>
  </si>
  <si>
    <t>Europea i Malmö AB</t>
  </si>
  <si>
    <t>eValue8 B.V.</t>
  </si>
  <si>
    <t>Evogh, Inc.</t>
  </si>
  <si>
    <t>Express Team Investments Limited</t>
  </si>
  <si>
    <t>FAAC Incorporated d/b/a IES Interactive Training</t>
  </si>
  <si>
    <t>Facebook, Inc.</t>
  </si>
  <si>
    <t>faceVsion Technology Inc.</t>
  </si>
  <si>
    <t>FactorY Media Production GmbH</t>
  </si>
  <si>
    <t>Fans Connect Online Limited</t>
  </si>
  <si>
    <t>Focus Products Company Limited</t>
  </si>
  <si>
    <t>FormosaSoft Corporation</t>
  </si>
  <si>
    <t>Frontrow Calypso LLC</t>
  </si>
  <si>
    <t>Fugoo Corporation</t>
  </si>
  <si>
    <t>Fuji Television Network, Inc.</t>
  </si>
  <si>
    <t>Fukui Broadcasting Co., Ltd.</t>
  </si>
  <si>
    <t>Fukui Television Broadcasting Co., Ltd.</t>
  </si>
  <si>
    <t>Fukuoka Broadcasting Corporation</t>
  </si>
  <si>
    <t>Fukushima Broadcasting Co., Ltd.</t>
  </si>
  <si>
    <t>Fukushima Central Television Co., Ltd.</t>
  </si>
  <si>
    <t>Fukushima Television Broadcasting Co., Ltd.</t>
  </si>
  <si>
    <t>Fullscreen, Inc.</t>
  </si>
  <si>
    <t>Fusion Communications Corporation</t>
  </si>
  <si>
    <t>Fuyoh Video Industry Co., Ltd</t>
  </si>
  <si>
    <t>Gaikai, Inc.</t>
  </si>
  <si>
    <t>General Electric Company d/b/a GE Healthcare</t>
  </si>
  <si>
    <t>Genesys Telecommunications Laboratories, Inc.</t>
  </si>
  <si>
    <t>Gifu Broadcasting System Co., Ltd.</t>
  </si>
  <si>
    <t>Gilbarco Inc.</t>
  </si>
  <si>
    <t>Global IP Telecommunications Limited</t>
  </si>
  <si>
    <t>GlobalMedia Group, LLC</t>
  </si>
  <si>
    <t>GoDaddy.com</t>
  </si>
  <si>
    <t>Goodrich Corporation</t>
  </si>
  <si>
    <t>Goverlan Inc.</t>
  </si>
  <si>
    <t>Government of Alberta</t>
  </si>
  <si>
    <t>Gravytrain Limited</t>
  </si>
  <si>
    <t>Guangdong Xuntong Technology Co., Ltd</t>
  </si>
  <si>
    <t>Gunma Television Co., Ltd.</t>
  </si>
  <si>
    <t>H4 Engineering, Inc.</t>
  </si>
  <si>
    <t>Haeden Bridge Co., Ltd.</t>
  </si>
  <si>
    <t>Hanya Star Culture and Technology Co., Ltd.</t>
  </si>
  <si>
    <t>Hasso-Plattner-Institut GmbH</t>
  </si>
  <si>
    <t>Hedler Systemlicht GmbH</t>
  </si>
  <si>
    <t>Higashi-Nippon Broadcasting Co., Ltd.</t>
  </si>
  <si>
    <t>Hiperwall, Inc.</t>
  </si>
  <si>
    <t>Hiroshima Home Television Co., Ltd</t>
  </si>
  <si>
    <t>Hiroshima Telecasting Co., Ltd.</t>
  </si>
  <si>
    <t>Hokkaido Broadcasting Co., Ltd</t>
  </si>
  <si>
    <t>Hokkaido Cultural Broadcasting Co., Ltd.</t>
  </si>
  <si>
    <t>Hokkaido Nikko Telecommunications Co., Ltd.</t>
  </si>
  <si>
    <t>Hokkaido Television Broadcasting Co., Ltd.</t>
  </si>
  <si>
    <t>Hokuriku Asahi Broadcasting Co., Ltd.</t>
  </si>
  <si>
    <t>Hokuriku Broadcasting Co., Ltd.</t>
  </si>
  <si>
    <t>Holimed Privatinstitut für holistische Medizinsysteme GmbH</t>
  </si>
  <si>
    <t>Home Box Office (Singapore) Pte Ltd</t>
  </si>
  <si>
    <t>Home Box Office, Inc.</t>
  </si>
  <si>
    <t>Hulu, LLC</t>
  </si>
  <si>
    <t>HUMAX Co., Ltd.</t>
  </si>
  <si>
    <t>Hybroad Vision Holdings Limited</t>
  </si>
  <si>
    <t>i Digital Galaxy Ltd.</t>
  </si>
  <si>
    <t>I Drive Safely, LLC</t>
  </si>
  <si>
    <t>IBS-Sabine Schmidt</t>
  </si>
  <si>
    <t>id3as-company ltd</t>
  </si>
  <si>
    <t>IGT</t>
  </si>
  <si>
    <t>Image Stream Medical, Inc.</t>
  </si>
  <si>
    <t>ImmersaView Pty Ltd</t>
  </si>
  <si>
    <t>Implix Sp. z o.o.</t>
  </si>
  <si>
    <t>InfoLinkNetwork</t>
  </si>
  <si>
    <t>Information Services, House of Commons</t>
  </si>
  <si>
    <t>inSORS Integrated Communications, Inc.</t>
  </si>
  <si>
    <t>INTERNET Co., Ltd.</t>
  </si>
  <si>
    <t>Interwise Ltd.</t>
  </si>
  <si>
    <t>Inxpo, Inc.</t>
  </si>
  <si>
    <t>ioGates ApS</t>
  </si>
  <si>
    <t>IP Video Networks, Inc.</t>
  </si>
  <si>
    <t>IQ wireless GmbH</t>
  </si>
  <si>
    <t>IRIS Technologies, Inc.</t>
  </si>
  <si>
    <t>Isaw camera Inc.</t>
  </si>
  <si>
    <t>ISEE Systems, Inc.</t>
  </si>
  <si>
    <t>Ishikawa Television Broadcasting Corporation</t>
  </si>
  <si>
    <t>Iskratel, d.o.o., Kranj</t>
  </si>
  <si>
    <t>iStreaming Networks LLC</t>
  </si>
  <si>
    <t>i-Television Inc.</t>
  </si>
  <si>
    <t>Iwate Asahi Television Co., Ltd.</t>
  </si>
  <si>
    <t>Iwate Menkoi Television Co., Ltd.</t>
  </si>
  <si>
    <t>Jolla Oy</t>
  </si>
  <si>
    <t>Jupiter Telecommunications Co., Ltd.</t>
  </si>
  <si>
    <t>Kagoshima Broadcasting Corporation</t>
  </si>
  <si>
    <t>Kagoshima Television Station Co., Ltd.</t>
  </si>
  <si>
    <t>Kagoshima Yomiuri Television Corporation</t>
  </si>
  <si>
    <t>Kamcord Inc.</t>
  </si>
  <si>
    <t>Kansai Telecasting Corporation</t>
  </si>
  <si>
    <t>Kanto Aircraft Instrument Co., Ltd.</t>
  </si>
  <si>
    <t>Karl Storz Imaging, Inc.</t>
  </si>
  <si>
    <t>KATHREIN TechnoTrend GmbH</t>
  </si>
  <si>
    <t>KATHREIN-Werke KG</t>
  </si>
  <si>
    <t>KIBI Nordic AB</t>
  </si>
  <si>
    <t>Kitanihon Broadcasting Co., Ltd.</t>
  </si>
  <si>
    <t>Knoahsoft Inc</t>
  </si>
  <si>
    <t>Kochi Broadcasting Co., Ltd.</t>
  </si>
  <si>
    <t>Kulu Valley Ltd</t>
  </si>
  <si>
    <t>Kumamoto Asahi Broadcasting Co., Ltd.</t>
  </si>
  <si>
    <t>Kumamoto Broadcasting Co., Ltd.</t>
  </si>
  <si>
    <t>Kumamoto Kenmin Television Corporation</t>
  </si>
  <si>
    <t>Kumamoto Telecasting Corporation</t>
  </si>
  <si>
    <t>Kyoraku Industrial Co., Ltd.</t>
  </si>
  <si>
    <t>Kyoto Broadcasting System Co., Ltd.</t>
  </si>
  <si>
    <t>Kyushu Asahi Broadcasting Co., Ltd.</t>
  </si>
  <si>
    <t>Leica Camera AG</t>
  </si>
  <si>
    <t>LG Uplus Corp.</t>
  </si>
  <si>
    <t>Lifesize, Inc.</t>
  </si>
  <si>
    <t>Lifetime Entertainment Services</t>
  </si>
  <si>
    <t>LinkBermuda Ltd.</t>
  </si>
  <si>
    <t>Lite-On IT Corporation</t>
  </si>
  <si>
    <t>LiveU Ltd.</t>
  </si>
  <si>
    <t>Lockheed Martin, Mission Systems and Sensors</t>
  </si>
  <si>
    <t>Logical Product Corporation</t>
  </si>
  <si>
    <t>Lumiscaphe Sarl</t>
  </si>
  <si>
    <t>Lytro, Inc.</t>
  </si>
  <si>
    <t>Lytx, Inc.</t>
  </si>
  <si>
    <t>Magneti Marelli S.p.A. - Electronics B.L.</t>
  </si>
  <si>
    <t>Mainichi Broadcasting System, Inc.</t>
  </si>
  <si>
    <t>maxdome GmbH</t>
  </si>
  <si>
    <t>MediaNaviCo LLC d/b/a M-GO</t>
  </si>
  <si>
    <t>MediaPlatform, Inc.</t>
  </si>
  <si>
    <t>Meridix Creative, Inc.</t>
  </si>
  <si>
    <t>Metaswitch Networks, LTD</t>
  </si>
  <si>
    <t>Metz Consumer Electronics GmbH</t>
  </si>
  <si>
    <t>metzico technologies GmbH</t>
  </si>
  <si>
    <t>Midwest Tape, LLC</t>
  </si>
  <si>
    <t>Mie Television Broadcasting Co., Ltd.</t>
  </si>
  <si>
    <t>migenius Pty Ltd</t>
  </si>
  <si>
    <t>Minaminihon Broadcasting Co., Ltd.</t>
  </si>
  <si>
    <t>Miravue, LLC</t>
  </si>
  <si>
    <t>Mitsubishi Electric Control Software Co.</t>
  </si>
  <si>
    <t>Mitsubishi Electric System &amp; Service Co., Ltd.</t>
  </si>
  <si>
    <t>MIYAGI Television Broadcasting Company, Ltd.</t>
  </si>
  <si>
    <t>Miyazaki Broadcasting Co., Ltd.</t>
  </si>
  <si>
    <t>Miyazaki Telecasting Co., Ltd.</t>
  </si>
  <si>
    <t>MLB Advanced Media, LP</t>
  </si>
  <si>
    <t>mmbi, Inc</t>
  </si>
  <si>
    <t>Mobile Labs, LLC</t>
  </si>
  <si>
    <t>MOBOTIX AG</t>
  </si>
  <si>
    <t>MotionDSP Inc.</t>
  </si>
  <si>
    <t>Movius Interactive Corporation</t>
  </si>
  <si>
    <t>MulticoreWare, Inc.</t>
  </si>
  <si>
    <t>Music Mastermind, Inc.</t>
  </si>
  <si>
    <t>MVI Engineering B.V.</t>
  </si>
  <si>
    <t>Nagano Broadcasting Systems, Inc.</t>
  </si>
  <si>
    <t>Nagasaki Broadcasting Co., Ltd.</t>
  </si>
  <si>
    <t>Nagasaki Culture Telecasting Corporation</t>
  </si>
  <si>
    <t>Nagasaki International Television Broadcasting, Inc.</t>
  </si>
  <si>
    <t>Nagoya Broadcasting Network Co., Ltd.</t>
  </si>
  <si>
    <t>Nankai Broadcasting Co., Ltd.</t>
  </si>
  <si>
    <t>Nant Studios, LLC</t>
  </si>
  <si>
    <t>Nara Television Co., LTD</t>
  </si>
  <si>
    <t>Naver Corporation</t>
  </si>
  <si>
    <t>Navigation Solutions LLC</t>
  </si>
  <si>
    <t>Nawmal Technologies</t>
  </si>
  <si>
    <t>Neotion SA</t>
  </si>
  <si>
    <t>Nest Labs, Inc</t>
  </si>
  <si>
    <t>Net Insight AB</t>
  </si>
  <si>
    <t>Net Transactions Limited</t>
  </si>
  <si>
    <t>Netflix, Inc.</t>
  </si>
  <si>
    <t>New Cinema.com, LLC</t>
  </si>
  <si>
    <t>NG MEDIA</t>
  </si>
  <si>
    <t>NICE s.r.l.</t>
  </si>
  <si>
    <t>Nihonkai Telecasting Co., Ltd.</t>
  </si>
  <si>
    <t>Niigata Sogo Television Company Limited</t>
  </si>
  <si>
    <t>Nimbus, Inc.</t>
  </si>
  <si>
    <t>Nippon Broadcasting System, Inc.</t>
  </si>
  <si>
    <t>Nippon Cultural Broadcasting Inc.</t>
  </si>
  <si>
    <t>Nippon Hoso Kyokai</t>
  </si>
  <si>
    <t>Nippon Television Network Corporation</t>
  </si>
  <si>
    <t>Nishi-Nippon Broadcasting Co., Ltd.</t>
  </si>
  <si>
    <t>NITCO</t>
  </si>
  <si>
    <t>NoMachine S.àr.l.</t>
  </si>
  <si>
    <t>North State Communications, LLC</t>
  </si>
  <si>
    <t>Northeast Nebraska Telephone Company</t>
  </si>
  <si>
    <t>Novatium Solutions Private Ltd</t>
  </si>
  <si>
    <t>NTT Advanced Technology Corporation</t>
  </si>
  <si>
    <t>NTT Plala Inc.</t>
  </si>
  <si>
    <t>Nvidia ARC GmbH</t>
  </si>
  <si>
    <t>nWise AB</t>
  </si>
  <si>
    <t>OB Telecom Electronics Co., Ltd</t>
  </si>
  <si>
    <t>Oblong Industries, Inc.</t>
  </si>
  <si>
    <t>Observit AB</t>
  </si>
  <si>
    <t>Occam Video Solutions</t>
  </si>
  <si>
    <t>Ocutex Inc.</t>
  </si>
  <si>
    <t>Oita Asahi Broadcasting Co., Ltd.</t>
  </si>
  <si>
    <t>Oita Broadcasting Systems, Inc.</t>
  </si>
  <si>
    <t>Okayama Broadcasting Co., Ltd.</t>
  </si>
  <si>
    <t>Okinawa Television Broadcasting Co., Ltd.</t>
  </si>
  <si>
    <t>Omega Unfold Inc.</t>
  </si>
  <si>
    <t>OMNITOR AB</t>
  </si>
  <si>
    <t>Oncam Global Group AG</t>
  </si>
  <si>
    <t>Onlinelib GmbH</t>
  </si>
  <si>
    <t>Ooluroo, LLC</t>
  </si>
  <si>
    <t>ooVoo, LLC</t>
  </si>
  <si>
    <t>Open Broadcast Systems Ltd</t>
  </si>
  <si>
    <t>OpenText S.A.</t>
  </si>
  <si>
    <t>Optivon, Inc.</t>
  </si>
  <si>
    <t>O'Reilly Media, Inc.</t>
  </si>
  <si>
    <t>OSRAM GmbH</t>
  </si>
  <si>
    <t>Osung Midicom Co., Ltd.</t>
  </si>
  <si>
    <t>OTOY Inc.</t>
  </si>
  <si>
    <t>Pacific Satellite International Ltd.</t>
  </si>
  <si>
    <t>Panasonic AVC Disc Services Co., Ltd.</t>
  </si>
  <si>
    <t>Panasonic AVC Networks Company America (PAVCA)</t>
  </si>
  <si>
    <t>Panasonic AVC Networks Kuala Lumpur Malaysia Sdn. Bhd.</t>
  </si>
  <si>
    <t>Panasonic Cloud Management Service Europe B.V.</t>
  </si>
  <si>
    <t>Panasonic Consumer Electronics Company</t>
  </si>
  <si>
    <t>Panasonic Healthcare Co., Ltd.</t>
  </si>
  <si>
    <t>Panasonic Solution Technologies Co., Ltd.</t>
  </si>
  <si>
    <t>Papyless Co., Ltd.</t>
  </si>
  <si>
    <t>Parallels IP Holdings GmbH</t>
  </si>
  <si>
    <t>PayDos Corp.</t>
  </si>
  <si>
    <t>Pensacola Christian College</t>
  </si>
  <si>
    <t>Pexip AS</t>
  </si>
  <si>
    <t>Phoenix Musical Ltd.</t>
  </si>
  <si>
    <t>Photron Limited</t>
  </si>
  <si>
    <t>PhysioLab Co., Ltd.</t>
  </si>
  <si>
    <t>Pioneer Telephone Cooperative</t>
  </si>
  <si>
    <t>Pixel Magic Ltd</t>
  </si>
  <si>
    <t>Pixformance Sports GmbH</t>
  </si>
  <si>
    <t>PLATAN SP. Z O.O. SP.K.</t>
  </si>
  <si>
    <t>Playground Serius Fun Prod. e Mkt.</t>
  </si>
  <si>
    <t>PNG Telecommunications, Inc.</t>
  </si>
  <si>
    <t>Positivo Informática S/A</t>
  </si>
  <si>
    <t>PRIMA Cinema, Inc.</t>
  </si>
  <si>
    <t>Prime Focus Technologies, Inc.</t>
  </si>
  <si>
    <t>Propel Software Corporation</t>
  </si>
  <si>
    <t>Quantum Signal LLC</t>
  </si>
  <si>
    <t>Quintessenz Verlags-GmbH</t>
  </si>
  <si>
    <t>Radiodetection Ltd</t>
  </si>
  <si>
    <t>RADVISION Ltd.</t>
  </si>
  <si>
    <t>Raytheon Company</t>
  </si>
  <si>
    <t>Razer (Asia-Pacific) PTE Ltd.</t>
  </si>
  <si>
    <t>RB CONTROLS CO., LTD</t>
  </si>
  <si>
    <t>RCC Broadcasting Co., Ltd.</t>
  </si>
  <si>
    <t>RCP Technik GmbH &amp; Co. KG</t>
  </si>
  <si>
    <t>Reachfield IT Solutions Pte Ltd</t>
  </si>
  <si>
    <t>RealNetworks K.K.</t>
  </si>
  <si>
    <t>Red Digital Cinema</t>
  </si>
  <si>
    <t>RedCell Technologies, Inc.</t>
  </si>
  <si>
    <t>Replay Technologies Inc.</t>
  </si>
  <si>
    <t>Retronix Technology Inc.</t>
  </si>
  <si>
    <t>Rev4 Media, LLC</t>
  </si>
  <si>
    <t>Rheinmetall Canada Inc.</t>
  </si>
  <si>
    <t>Richard Wolf GmbH</t>
  </si>
  <si>
    <t>Riptide Software Inc.</t>
  </si>
  <si>
    <t>RKB Mainichi Broadcasting Corporation</t>
  </si>
  <si>
    <t>Roy Mark Technology Development (Shenzhen) Co., Ltd</t>
  </si>
  <si>
    <t>RT Software Ltd</t>
  </si>
  <si>
    <t>R-Technics, Inc.</t>
  </si>
  <si>
    <t>RTL interactive GmbH (Ltd)</t>
  </si>
  <si>
    <t>Rubo Medical Imaging B.V.</t>
  </si>
  <si>
    <t>Ryukyu Broadcasting Corporation</t>
  </si>
  <si>
    <t>S3 TV Technology Ltd</t>
  </si>
  <si>
    <t>Saab AB, SOS, Traffic Management</t>
  </si>
  <si>
    <t>Saba Software, Inc.</t>
  </si>
  <si>
    <t>Safari Books Online, LLC</t>
  </si>
  <si>
    <t>Saga Television Station</t>
  </si>
  <si>
    <t>Sakuranbo Television Broadcasting Corporation</t>
  </si>
  <si>
    <t>San-In Chuo Television Broadcasting Company Limited</t>
  </si>
  <si>
    <t>Sanyo Broadcasting Co., Ltd.</t>
  </si>
  <si>
    <t>SANYO Electric (Taiwan) Co., Ltd.</t>
  </si>
  <si>
    <t>Schiebel Elektronische Geräte GmbH</t>
  </si>
  <si>
    <t>Scientia LLC</t>
  </si>
  <si>
    <t>Scientia Technologies GmbH</t>
  </si>
  <si>
    <t>Scripps Networks, LLC</t>
  </si>
  <si>
    <t>Second Chapter Publishing ApS</t>
  </si>
  <si>
    <t>Semp Toshiba Amazonas S.A.</t>
  </si>
  <si>
    <t>Sendai Television Broadcasting Corporation</t>
  </si>
  <si>
    <t>Setonaikai Broadcasting Co., Inc.</t>
  </si>
  <si>
    <t>Seznam.cz, a.s.</t>
  </si>
  <si>
    <t>Shanti Phula LLC</t>
  </si>
  <si>
    <t>Shaw Communications Inc.</t>
  </si>
  <si>
    <t>Shenzhen Sunell Technology Corporation</t>
  </si>
  <si>
    <t>Shenzhen TongFang Multimedia Technology Co. Ltd.</t>
  </si>
  <si>
    <t>Shenzhen TVT Digital Technology Co., Ltd.</t>
  </si>
  <si>
    <t>Shikoku Broadcasting Co., Ltd.</t>
  </si>
  <si>
    <t>Shimano Inc.</t>
  </si>
  <si>
    <t>Shin-etsu Broadcasting Co., Ltd.</t>
  </si>
  <si>
    <t>Shinhiroshima Telecasting Co., Ltd.</t>
  </si>
  <si>
    <t>Shirogumi Inc.</t>
  </si>
  <si>
    <t>Shizuoka Broadcasting System Co., Ltd.</t>
  </si>
  <si>
    <t>Shizuoka Daiichi Television Corporation</t>
  </si>
  <si>
    <t>Shizuoka Telecasting Co., Ltd.</t>
  </si>
  <si>
    <t>Shoretel, Inc.</t>
  </si>
  <si>
    <t>Shutterstock Images LLC</t>
  </si>
  <si>
    <t>Silvus Technologies, Inc.</t>
  </si>
  <si>
    <t>Simpliphi, Inc.</t>
  </si>
  <si>
    <t>Sing Square, LLC</t>
  </si>
  <si>
    <t>Sirius Satellite Radio, Inc.</t>
  </si>
  <si>
    <t>Sky Deutschland Fernsehen GmbH &amp; Co. KG</t>
  </si>
  <si>
    <t>SKY Perfect JSAT Corporation</t>
  </si>
  <si>
    <t>Sky UK Limited</t>
  </si>
  <si>
    <t>SkyCoach, LLC</t>
  </si>
  <si>
    <t>Skyrocket Toys, LLC</t>
  </si>
  <si>
    <t>Slack Technologies, Inc.</t>
  </si>
  <si>
    <t>SmartDrive Systems, Inc</t>
  </si>
  <si>
    <t>Smartfrog Limited</t>
  </si>
  <si>
    <t>Smartsign AB</t>
  </si>
  <si>
    <t>Snow Leopard Investments Ltd.</t>
  </si>
  <si>
    <t>SoftBank Corp.</t>
  </si>
  <si>
    <t>Softel Systems Pty Ltd</t>
  </si>
  <si>
    <t>Softouch Development Inc.</t>
  </si>
  <si>
    <t>Sonic Telecom, LLC</t>
  </si>
  <si>
    <t>Sony Computer Entertainment America, Inc.</t>
  </si>
  <si>
    <t>Sony DADC Australia P/L</t>
  </si>
  <si>
    <t>Sony DADC Austria AG</t>
  </si>
  <si>
    <t>Sony DADC US Inc. d/b/a Sony DADC Americas</t>
  </si>
  <si>
    <t>Sony Digital Products (WUXI) Co., Ltd.</t>
  </si>
  <si>
    <t>Sony Music Entertainment, Inc.</t>
  </si>
  <si>
    <t>Sony Network Entertainment International LLC</t>
  </si>
  <si>
    <t>SORCE Limited</t>
  </si>
  <si>
    <t>Sorenson Communications, Inc.</t>
  </si>
  <si>
    <t>Sound Devices LLC</t>
  </si>
  <si>
    <t>South Slope Cooperative Communications Company</t>
  </si>
  <si>
    <t>SplitmediaLabs Limited</t>
  </si>
  <si>
    <t>SQR Systems Limited</t>
  </si>
  <si>
    <t>Squirrels LLC</t>
  </si>
  <si>
    <t>SRG SSR</t>
  </si>
  <si>
    <t>St. Olaf College</t>
  </si>
  <si>
    <t>Stable Imaging Solutions, LLC</t>
  </si>
  <si>
    <t>STAR CO., LTD</t>
  </si>
  <si>
    <t>StarDot Technologies</t>
  </si>
  <si>
    <t>Streamax Technology Co., Ltd.</t>
  </si>
  <si>
    <t>Studio Network Solutions, LLC</t>
  </si>
  <si>
    <t>Suken Publishing Co., Ltd.</t>
  </si>
  <si>
    <t>Sun Television Co., Ltd.</t>
  </si>
  <si>
    <t>SUNCORPORATION</t>
  </si>
  <si>
    <t>Sunniwell Co., Ltd.</t>
  </si>
  <si>
    <t>Supra Foto Elektronik Vertriebs GmbH</t>
  </si>
  <si>
    <t>Surf Communications Solutions Ltd.</t>
  </si>
  <si>
    <t>Tacony Corporation</t>
  </si>
  <si>
    <t>Tagkast Inc</t>
  </si>
  <si>
    <t>Takusuta, Inc.</t>
  </si>
  <si>
    <t>Tamaggo Inc</t>
  </si>
  <si>
    <t>TAYAMA POLSKA Robert Prandota i Wspólnicy Spólka Jawna</t>
  </si>
  <si>
    <t>TC&amp;C Telecommunications and Computer Technology Ltd.</t>
  </si>
  <si>
    <t>TDS Telecommunications Corporation</t>
  </si>
  <si>
    <t>Technicolor Canada Inc.</t>
  </si>
  <si>
    <t>Technicolor Disc Services International, Ltd.</t>
  </si>
  <si>
    <t>Technicolor Export de Mexico, S. de RL de CV</t>
  </si>
  <si>
    <t>Technicolor Home Entertainment Services, Inc.</t>
  </si>
  <si>
    <t>Technicolor Malaysia Sdn. Bhd.</t>
  </si>
  <si>
    <t>Technicolor Mexicana, S. de RL de CV</t>
  </si>
  <si>
    <t>Technicolor Polska Sp. z.o.o.</t>
  </si>
  <si>
    <t>Technicolor Pty Ltd.</t>
  </si>
  <si>
    <t>Technicolor Videocassette of Michigan, Inc.</t>
  </si>
  <si>
    <t>Techno Broad Inc.</t>
  </si>
  <si>
    <t>TechSmith Corporation</t>
  </si>
  <si>
    <t>Telairity, Inc.</t>
  </si>
  <si>
    <t>TELEFÓNICA MÓVILES ESPAÑA, S.A.U</t>
  </si>
  <si>
    <t>Teleportel Europe NV</t>
  </si>
  <si>
    <t>Television Hokkaido Broadcasting Co. Ltd.</t>
  </si>
  <si>
    <t>Television Iwate Corporation</t>
  </si>
  <si>
    <t>Television Kanagawa, Inc.</t>
  </si>
  <si>
    <t>Television Kanazawa Co., Ltd.</t>
  </si>
  <si>
    <t>Television Nishinippon Corporation</t>
  </si>
  <si>
    <t>Television Oita System Co., Ltd.</t>
  </si>
  <si>
    <t>Television Osaka, Inc.</t>
  </si>
  <si>
    <t>Television Saitama Co., Ltd.</t>
  </si>
  <si>
    <t>Television Yamaguchi Broadcasting Systems Co., Ltd.</t>
  </si>
  <si>
    <t>Television Yamanashi Co., Ltd.</t>
  </si>
  <si>
    <t>Teleworker Inc.</t>
  </si>
  <si>
    <t>Tello, LLC</t>
  </si>
  <si>
    <t>Tellumat (Pty) Ltd</t>
  </si>
  <si>
    <t>Telos Corporation</t>
  </si>
  <si>
    <t>Telstra Corporation Limited</t>
  </si>
  <si>
    <t>Tely Labs, Inc.</t>
  </si>
  <si>
    <t>The Capital Group Companies, Inc.</t>
  </si>
  <si>
    <t>The Chester Telephone Company D/B/A TruVista</t>
  </si>
  <si>
    <t>The Elevator Channel d/b/a 11giraffes Company</t>
  </si>
  <si>
    <t>The Legacy of the Angels Corp. Sole for Integrity in Publication</t>
  </si>
  <si>
    <t>The Light Co, Inc.</t>
  </si>
  <si>
    <t>The Niigata Television Network 21, Inc.</t>
  </si>
  <si>
    <t>The Sapporo Television Broadcasting Co., Ltd.</t>
  </si>
  <si>
    <t>The University Court of the University of Edinburgh</t>
  </si>
  <si>
    <t>The University of Cambridge</t>
  </si>
  <si>
    <t>Thincast Technologies GmbH</t>
  </si>
  <si>
    <t>Thomson Reuters (Markets) LLC</t>
  </si>
  <si>
    <t>Tightrope Media Systems, Inc.</t>
  </si>
  <si>
    <t>Tochigi Television Broadcasting Corporation</t>
  </si>
  <si>
    <t>Tohoku Broadcasting Co., Ltd.</t>
  </si>
  <si>
    <t>Tokai Television Broadcasting Co., Ltd.</t>
  </si>
  <si>
    <t>Tokyo Broadcasting System Television, Inc.</t>
  </si>
  <si>
    <t>Tokyo FM Broadcasting Co., Ltd.</t>
  </si>
  <si>
    <t>Tokyo Metropolitan Television Broadcasting Corporation</t>
  </si>
  <si>
    <t>Tomocube, Inc.</t>
  </si>
  <si>
    <t>Topcon Corporation</t>
  </si>
  <si>
    <t>Toshiba Personal Computer System Corporation</t>
  </si>
  <si>
    <t>Toyama Television Broadcasting Co., Ltd.</t>
  </si>
  <si>
    <t>Trilogy-Media, LLC</t>
  </si>
  <si>
    <t>Tulip-TV Inc.</t>
  </si>
  <si>
    <t>Turk Telekom A.S.</t>
  </si>
  <si>
    <t>Turner Broadcasting System, Inc.</t>
  </si>
  <si>
    <t>tv asahi corporation</t>
  </si>
  <si>
    <t>TV Kochi Broadcasting Co., Ltd.</t>
  </si>
  <si>
    <t>TV Setouchi Broadcasting Co., Ltd.</t>
  </si>
  <si>
    <t>TV Shinshu Broadcasting Co., Ltd.</t>
  </si>
  <si>
    <t>TV TOKYO Corporation</t>
  </si>
  <si>
    <t>TVersity Inc.</t>
  </si>
  <si>
    <t>TV-Nagasaki Broadcasting Co., Ltd.</t>
  </si>
  <si>
    <t>TVQ Kyushu Broadcasting Co., Ltd.</t>
  </si>
  <si>
    <t>TV-U Fukushima, Inc.</t>
  </si>
  <si>
    <t>TV-U Yamagata, Incorporated</t>
  </si>
  <si>
    <t>Twinbird Corporation</t>
  </si>
  <si>
    <t>Twitch Interactive Inc.</t>
  </si>
  <si>
    <t>Twitter, Inc.</t>
  </si>
  <si>
    <t>United Communications</t>
  </si>
  <si>
    <t>Universal Entertainment Corporation</t>
  </si>
  <si>
    <t>University of Durham</t>
  </si>
  <si>
    <t>Ustream, Inc.</t>
  </si>
  <si>
    <t>Utherverse Digital, Inc.</t>
  </si>
  <si>
    <t>Valid8.com, Inc.</t>
  </si>
  <si>
    <t>Valve Corporation</t>
  </si>
  <si>
    <t>VDL, Inc dba Global Telecom Brokers</t>
  </si>
  <si>
    <t>Veetle, Inc.</t>
  </si>
  <si>
    <t>Vemotion Interactive Ltd</t>
  </si>
  <si>
    <t>Vertex Golf, LP</t>
  </si>
  <si>
    <t>VerySoft, LLC</t>
  </si>
  <si>
    <t>VIA Technologies, Inc.</t>
  </si>
  <si>
    <t>Viavi Solutions, Inc</t>
  </si>
  <si>
    <t>Vicon Motion Systems Ltd.</t>
  </si>
  <si>
    <t>VideoLink LLC</t>
  </si>
  <si>
    <t>Videotec S.p.a.</t>
  </si>
  <si>
    <t>Videx Inc.</t>
  </si>
  <si>
    <t>Village Island Co., Ltd.</t>
  </si>
  <si>
    <t>Vimeo, LLC</t>
  </si>
  <si>
    <t>Virginia CLE</t>
  </si>
  <si>
    <t>Vision III Imaging, Inc.</t>
  </si>
  <si>
    <t>Vivo Collaboration Solutions Pvt. Ltd.</t>
  </si>
  <si>
    <t>VMware, Inc.</t>
  </si>
  <si>
    <t>VRX Company Inc.</t>
  </si>
  <si>
    <t>VS Networks LLC</t>
  </si>
  <si>
    <t>VT MÄK</t>
  </si>
  <si>
    <t>Vubiquity, Inc.</t>
  </si>
  <si>
    <t>VUDU, Inc.</t>
  </si>
  <si>
    <t>Wakayama Telecasting Corporation</t>
  </si>
  <si>
    <t>Webcamsoft LLC</t>
  </si>
  <si>
    <t>Wolftech Broadcast Solutions AS</t>
  </si>
  <si>
    <t>World Wrestling Entertainment, Inc.</t>
  </si>
  <si>
    <t>Worldplay (Canada) Inc.</t>
  </si>
  <si>
    <t>WOWOW INC.</t>
  </si>
  <si>
    <t>Wx3 Telecom AB</t>
  </si>
  <si>
    <t>x-dream-media GmbH</t>
  </si>
  <si>
    <t>XING Inc.</t>
  </si>
  <si>
    <t>XION GmbH</t>
  </si>
  <si>
    <t>xtendx AG</t>
  </si>
  <si>
    <t>Yahoo Japan Corporation</t>
  </si>
  <si>
    <t>Yamagata Broadcasting Co., Ltd.</t>
  </si>
  <si>
    <t>Yamagata Television System, Inc.</t>
  </si>
  <si>
    <t>Yamaguchi Asahi Broadcasting Co., Ltd.</t>
  </si>
  <si>
    <t>Yamaguchi Broadcasting Co., Ltd.</t>
  </si>
  <si>
    <t>Yamanashi Broadcasting System Inc.</t>
  </si>
  <si>
    <t>Yealink Network Technology Co., Ltd.</t>
  </si>
  <si>
    <t>Yomiuri Telecasting Corporation</t>
  </si>
  <si>
    <t>ZDF, German Television</t>
  </si>
  <si>
    <t>ZenCat Productions, LLC</t>
  </si>
  <si>
    <t>ZFV zahnärztlicher Fach-Verlag GmbH</t>
  </si>
  <si>
    <t>Zhejiang Dali Technology Co., Ltd.</t>
  </si>
  <si>
    <t>ZheJiang Uniview Technologies Co., Ltd.</t>
  </si>
  <si>
    <t>Zound Industries Smartphones AB</t>
  </si>
  <si>
    <t>Description: MPEG LA's AVC/H.264 Patent Portfolio License provides access to essential patent rights for the AVC/H.264 (MPEG-4 Part 10) digital video coding standard used in set-top boxes, media player and other personal computer software, mobile devices including telephones and mobile television receivers, Blu-ray DiscTM players and recorders, Blu-ray video optical discs, game machines, personal media player devices, still and video cameras, subscription and pay-per view or title video services, free broadcast television services and other products. To align with the real-world flow of AVC/H.264 commerce, reasonable royalties are apportioned throughout the AVC/H.264 value chain. The License employs annual limitations to provide cost predictability, threshold levels below which certain royalties will not be charged in order to encourage early-stage adopters and minimize the impact on lower volume users or demo products, and certain licensing options that require no royalty reports.</t>
  </si>
  <si>
    <t>Background</t>
  </si>
  <si>
    <t>H.264 or MPEG-4 Part 10, Advanced Video Coding (MPEG-4 AVC) is a block-oriented motion-compensation-based video compression standard that is currently one of the most commonly used formats for the recording, compression, and distribution of video content.</t>
  </si>
  <si>
    <t>The intent of the H.264/AVC project was to create a standard capable of providing good video quality at substantially lower bit rates than previous standards (i.e., half or less the bit rate of MPEG-2, H.263, or MPEG-4 Part 2), without increasing the complexity of design so much that it would be impractical or excessively expensive to implement. An additional goal was to provide enough flexibility to allow the standard to be applied to a wide variety of applications on a wide variety of networks and systems, including low and high bit rates, low and high resolution video, broadcast, DVD storage, RTP/IP packet networks, and ITU-T multimedia telephony systems. The H.264 standard can be viewed as a "family of standards" composed of a number of different profiles. A specific decoder decodes at least one, but not necessarily all profiles. The decoder specification describes which profiles can be decoded. H.264 is typically used for lossy compression, although it is also possible to create truly lossless-coded regions within lossy-coded pictures or to support rare use cases for which the entire encoding is lossless.</t>
  </si>
  <si>
    <t>H.264 is perhaps best known as being one of the video encoding standards for Blu-ray Discs; all Blu-ray Disc players must be able to decode H.264. It is also widely used by streaming internet sources, such as videos from Vimeo, YouTube, and the iTunes Store, web software such as the Adobe Flash Player and Microsoft Silverlight, and also various HDTV broadcasts over terrestrial (Advanced Television Systems Committee standards, ISDB-T, DVB-T or DVB-T2), cable (DVB-C), and satellite (DVB-S and DVB-S2).</t>
  </si>
  <si>
    <t>Licensors(accessed from MPEGLA website June 25 2015)</t>
  </si>
  <si>
    <t>Terms of License</t>
  </si>
  <si>
    <t>less than 100,000 units are free</t>
  </si>
  <si>
    <t>100K to 5m pays US 0.20 per unit, after first 100, 000</t>
  </si>
  <si>
    <t>Above 5m pays US 0.10 per unit, after first 5m</t>
  </si>
  <si>
    <t>Enterprise Caps</t>
  </si>
  <si>
    <t>$3.5m 2005 and 2006</t>
  </si>
  <si>
    <t>$4.25m  in 2007 and 2008</t>
  </si>
  <si>
    <t>$5m 2009 and 2010</t>
  </si>
  <si>
    <t>$6.5m  in 2011 through 2015</t>
  </si>
  <si>
    <t>$8.25m in 2016</t>
  </si>
  <si>
    <t>$9.75 m from 2017 to 2020</t>
  </si>
  <si>
    <t>Not discontinued according to wikipedia page</t>
  </si>
  <si>
    <t>On MPEG4 Licensee or Licensor List?  1=yes</t>
  </si>
  <si>
    <t xml:space="preserve">We assume that a smartphone would need a license. </t>
  </si>
  <si>
    <t>The Enterprise Cap is $6.5m</t>
  </si>
  <si>
    <t>listed as  part of a joint venture</t>
  </si>
  <si>
    <t>listed twice</t>
  </si>
  <si>
    <t>4 Subsidiaries of BBK Listed, all produce smartphones</t>
  </si>
  <si>
    <t>jolla oy listed</t>
  </si>
  <si>
    <t>listed among bbk subsiaries</t>
  </si>
  <si>
    <t>MPEGLA MPEG4</t>
  </si>
  <si>
    <t>Unwired Planet</t>
  </si>
  <si>
    <t>Through its AAC patent pool, Via offers a license to the AAC patent portfolios of industry leading</t>
  </si>
  <si>
    <t>companies that include AT&amp;T Corp., Dolby Laboratories, Ericsson, Fraunhofer IIS, Koninklijke Philips N.V.,</t>
  </si>
  <si>
    <t>Microsoft Corporation, NEC Corporation, NTT DOCOMO, INC., Orange S.A., and Panasonic Corporation,</t>
  </si>
  <si>
    <t>the key innovators of the AAC audio compression standard that is widely adopted in broadcast,</t>
  </si>
  <si>
    <t>consumer electronics, mobile, automotive and personal computer products, worldwide.</t>
  </si>
  <si>
    <t>AAC is an</t>
  </si>
  <si>
    <t>audio compression scheme designed to provide high quality audio at lower bit-rates than previous</t>
  </si>
  <si>
    <t>MPEG audio compression formats.</t>
  </si>
  <si>
    <t>First 1 to 500,000 units</t>
  </si>
  <si>
    <t>Per unit $</t>
  </si>
  <si>
    <t xml:space="preserve">500,001 to 1m </t>
  </si>
  <si>
    <t>1m to 2m</t>
  </si>
  <si>
    <t>2,000001 to 5m</t>
  </si>
  <si>
    <t>5,000,0001 to 10m</t>
  </si>
  <si>
    <t>10,000,001 to 20m</t>
  </si>
  <si>
    <t>20,000,001 to 50m</t>
  </si>
  <si>
    <t>50,000,001 to 75m</t>
  </si>
  <si>
    <t>more than 75m</t>
  </si>
  <si>
    <t>3GA Limited</t>
  </si>
  <si>
    <t>3pleplay Electronics Pvt Lt</t>
  </si>
  <si>
    <t>A &amp; R Cambridge Ltd.</t>
  </si>
  <si>
    <t>A. I. D. Co., LTD</t>
  </si>
  <si>
    <t>Access Co., Ltd.</t>
  </si>
  <si>
    <t>ACCESSPORT Inc.</t>
  </si>
  <si>
    <t>Acer Incorporated</t>
  </si>
  <si>
    <t>ACETEL Co. Ltd.</t>
  </si>
  <si>
    <t>ACRA Control Ltd.</t>
  </si>
  <si>
    <t>Act-3D B.V.</t>
  </si>
  <si>
    <t>Actia Sodielec</t>
  </si>
  <si>
    <t>Adidas AG</t>
  </si>
  <si>
    <t>Adtec Productions, Inc.</t>
  </si>
  <si>
    <t>ADVANCE PARIS SARL</t>
  </si>
  <si>
    <t>Advanced Communications Co., Ltd.</t>
  </si>
  <si>
    <t>Advanced Digital Broadcast S.A.</t>
  </si>
  <si>
    <t>AEQ, S.A.</t>
  </si>
  <si>
    <t>AETA AUDIO SYSTEMS S.A.S.</t>
  </si>
  <si>
    <t>Aether Things, Inc.</t>
  </si>
  <si>
    <t>Afterlive.tv Inc.</t>
  </si>
  <si>
    <t>AIRTIES Kablosuz Iletisim Sanayi ve Dis Ticaret AS</t>
  </si>
  <si>
    <t>AISIN AW CO., LTD.</t>
  </si>
  <si>
    <t>AixSolve GmbH</t>
  </si>
  <si>
    <t>Akamai Technologies, Inc.</t>
  </si>
  <si>
    <t>Albis Technologies AG</t>
  </si>
  <si>
    <t>AliphCom</t>
  </si>
  <si>
    <t>Aloys, Inc.</t>
  </si>
  <si>
    <t>ALVIX Corporation</t>
  </si>
  <si>
    <t>Amazon Fulfillment Services, Inc.</t>
  </si>
  <si>
    <t>AmberFin Limited</t>
  </si>
  <si>
    <t>AmTRAN Technology Co., Ltd</t>
  </si>
  <si>
    <t>AMX, LLC</t>
  </si>
  <si>
    <t>Anam Electronics Co., Ltd.</t>
  </si>
  <si>
    <t>Anchor Far East Ltd</t>
  </si>
  <si>
    <t>Ando Media, LLC d/b/a Triton Digital</t>
  </si>
  <si>
    <t>Angel Iglesias S.A.</t>
  </si>
  <si>
    <t>Antik Technology s.r.o.</t>
  </si>
  <si>
    <t>Anymode Corporation</t>
  </si>
  <si>
    <t>ANYWARE VIDEO</t>
  </si>
  <si>
    <t>APOGEE International Limited</t>
  </si>
  <si>
    <t>APT Ltd</t>
  </si>
  <si>
    <t>Arcelik AS</t>
  </si>
  <si>
    <t>ARCTIC DISTRIBUTION LIMITED</t>
  </si>
  <si>
    <t>ARION Technology Inc.</t>
  </si>
  <si>
    <t>ARRIS Group, Inc.</t>
  </si>
  <si>
    <t>ARWINJAPAN Inc.</t>
  </si>
  <si>
    <t>Asahi Corporation</t>
  </si>
  <si>
    <t>ASCON CO., LTD.</t>
  </si>
  <si>
    <t>Ashampoo GmbH &amp; Co. KG</t>
  </si>
  <si>
    <t>ASKEY Computer Corporation</t>
  </si>
  <si>
    <t>Astrodesign, Inc.</t>
  </si>
  <si>
    <t>ASUKA Autotronics Inc.</t>
  </si>
  <si>
    <t>ATAKOR SARL</t>
  </si>
  <si>
    <t>ATEME S.A.</t>
  </si>
  <si>
    <t>Atmaca Elektronik San. ve Tic. A.S</t>
  </si>
  <si>
    <t>Atom Xquare Corporation Limited</t>
  </si>
  <si>
    <t>Audible Inc.</t>
  </si>
  <si>
    <t>Audio Design Experts, Inc.</t>
  </si>
  <si>
    <t>Audio Partnership PLC</t>
  </si>
  <si>
    <t>Aurora Design LLC</t>
  </si>
  <si>
    <t>Automated Control Technology Partners, Inc.</t>
  </si>
  <si>
    <t>Autonomic Controls, Inc.</t>
  </si>
  <si>
    <t>AVerMedia TECHNOLOGIES, Inc.</t>
  </si>
  <si>
    <t>AVIT Ltd.</t>
  </si>
  <si>
    <t>AVT Audio Video Technologies GmbH</t>
  </si>
  <si>
    <t>AwoX S.A.</t>
  </si>
  <si>
    <t>Axion AG</t>
  </si>
  <si>
    <t>B&amp;W Group, Ltd.</t>
  </si>
  <si>
    <t>Bandisoft</t>
  </si>
  <si>
    <t>Bang &amp; Olufsen A/S</t>
  </si>
  <si>
    <t>Barix AG</t>
  </si>
  <si>
    <t>Beijing Realmagic Technology Co., Ltd.</t>
  </si>
  <si>
    <t>Beyondwiz Co., Ltd.</t>
  </si>
  <si>
    <t>bizmodeller ltd</t>
  </si>
  <si>
    <t>BlackBerry Limited</t>
  </si>
  <si>
    <t>Blackboard Canada Inc.</t>
  </si>
  <si>
    <t>Blackmagic Design Pty Ltd</t>
  </si>
  <si>
    <t>BLANKOM systems GmbH</t>
  </si>
  <si>
    <t>BLUECOM Co., Ltd.</t>
  </si>
  <si>
    <t>Blueshift, LLC</t>
  </si>
  <si>
    <t>Bon Electronics, Inc.</t>
  </si>
  <si>
    <t>Bosonic Electronics Co., Ltd.</t>
  </si>
  <si>
    <t>BRAINSALT MEDIA GMBH</t>
  </si>
  <si>
    <t>Brightcove, Inc.</t>
  </si>
  <si>
    <t>British Sky Broadcasting Limited</t>
  </si>
  <si>
    <t>BROTHER INDUSTRIES, LTD.</t>
  </si>
  <si>
    <t>Bullitt Audio Ltd</t>
  </si>
  <si>
    <t>BYD Precision Manufacture Company Limited</t>
  </si>
  <si>
    <t>Bylo Media Inc.</t>
  </si>
  <si>
    <t>C. Crane Company, Inc.</t>
  </si>
  <si>
    <t>Cabletime Ltd</t>
  </si>
  <si>
    <t>Caliber Europe BV</t>
  </si>
  <si>
    <t>Cameo Communications, Inc.</t>
  </si>
  <si>
    <t>Canary Connect, Inc.</t>
  </si>
  <si>
    <t>CANON INC.</t>
  </si>
  <si>
    <t>Canonical Limited</t>
  </si>
  <si>
    <t>CASIO COMPUTER CO., LTD.</t>
  </si>
  <si>
    <t>CastleNet Technology Inc</t>
  </si>
  <si>
    <t>CASTRADE CO., LTD.</t>
  </si>
  <si>
    <t>Castwin Co., Ltd.</t>
  </si>
  <si>
    <t>CATHAY TRI-TECH., INC.</t>
  </si>
  <si>
    <t>Cattura Video, LLC</t>
  </si>
  <si>
    <t>CCA Designing &amp; Manufacturing Limited</t>
  </si>
  <si>
    <t>Celartem, Inc. d.b.a. Extensis and LizardTech</t>
  </si>
  <si>
    <t>Centrafuse, Inc</t>
  </si>
  <si>
    <t>Changchun Qiming Lingdian Automotive Electronics Co.,Ltd</t>
  </si>
  <si>
    <t>Chengdu Hongtushixun Digital Technology Co., Ltd.</t>
  </si>
  <si>
    <t>Chord Electronics Limited</t>
  </si>
  <si>
    <t>Chung's Electronic Company Limited</t>
  </si>
  <si>
    <t>Cisco Systems, Inc</t>
  </si>
  <si>
    <t>ClearOne Communications, Inc.</t>
  </si>
  <si>
    <t>Cloud Engines, Inc.</t>
  </si>
  <si>
    <t>Cobalt Digital, Inc.</t>
  </si>
  <si>
    <t>Cold Beam Games Ltd</t>
  </si>
  <si>
    <t>Commtronix Limited</t>
  </si>
  <si>
    <t>Como Audio, LLC</t>
  </si>
  <si>
    <t>Compression Labs, Inc.</t>
  </si>
  <si>
    <t>Compunicate Technologies Inc.</t>
  </si>
  <si>
    <t>Continental Automotive Systems, Inc.</t>
  </si>
  <si>
    <t>Coolstream International Limited</t>
  </si>
  <si>
    <t>Core Brands, LLC</t>
  </si>
  <si>
    <t>Coscom Co., Ltd.</t>
  </si>
  <si>
    <t>COSTEL Co., Ltd.</t>
  </si>
  <si>
    <t>Cosworth LLC</t>
  </si>
  <si>
    <t>Cowe Co., Ltd.</t>
  </si>
  <si>
    <t>Crestron Electronics, Inc.</t>
  </si>
  <si>
    <t>Cresyn Co., Ltd.</t>
  </si>
  <si>
    <t>CS LOGINET INC.</t>
  </si>
  <si>
    <t>CTECH BILISIM TEKNOLOJILERI SAN. ve TIC. A.S.</t>
  </si>
  <si>
    <t>Cyberlink Corporation</t>
  </si>
  <si>
    <t>D&amp;M Holdings Inc</t>
  </si>
  <si>
    <t>DASAN Network Solutions, Inc.</t>
  </si>
  <si>
    <t>Dassault Systemes SA</t>
  </si>
  <si>
    <t>DEI Holdings, Inc.</t>
  </si>
  <si>
    <t>Dension Elektronikai Kft.</t>
  </si>
  <si>
    <t>Destiny Media Technologies</t>
  </si>
  <si>
    <t>DEVA Broadcast Limited</t>
  </si>
  <si>
    <t>Dexin Digital Technology Corp. Ltd.</t>
  </si>
  <si>
    <t>Diablotek International Inc.</t>
  </si>
  <si>
    <t>Dialogic, Inc.</t>
  </si>
  <si>
    <t>DIGICON Inc.</t>
  </si>
  <si>
    <t>Digigram SA</t>
  </si>
  <si>
    <t>DigiOn, Inc</t>
  </si>
  <si>
    <t>Digital Audio SA</t>
  </si>
  <si>
    <t>DigitalZone Co., Ltd.</t>
  </si>
  <si>
    <t>Dongguan Kaiyun Electronic Enterprise Limited</t>
  </si>
  <si>
    <t>Drift Innovation Ltd.</t>
  </si>
  <si>
    <t>DUNE HD LTD</t>
  </si>
  <si>
    <t>DXG Technology Corp.</t>
  </si>
  <si>
    <t>EarthChannel Communications, Inc.</t>
  </si>
  <si>
    <t>EASO Stereo Co., Ltd.</t>
  </si>
  <si>
    <t>Eastern Partner SPC Limited</t>
  </si>
  <si>
    <t>Edigin, Inc.</t>
  </si>
  <si>
    <t>ELAC Americas LLC</t>
  </si>
  <si>
    <t>ELECOM CO., LTD.</t>
  </si>
  <si>
    <t>Elements Global Ltd.</t>
  </si>
  <si>
    <t>Elements Innovation (Audio &amp; Video) Limited</t>
  </si>
  <si>
    <t>Elisa Oyj</t>
  </si>
  <si>
    <t>Empty Clip Studios Inc.</t>
  </si>
  <si>
    <t>Entone Technologies (HK) Ltd.</t>
  </si>
  <si>
    <t>Envivio, Inc.</t>
  </si>
  <si>
    <t>Evertz Microsystems Ltd.</t>
  </si>
  <si>
    <t>EVGA Corporation</t>
  </si>
  <si>
    <t>Explorer Inc.</t>
  </si>
  <si>
    <t>Extreme Technologies, LLC</t>
  </si>
  <si>
    <t>Fabrix.TV LTD.</t>
  </si>
  <si>
    <t>FANTEC GmbH</t>
  </si>
  <si>
    <t>Fengfan (Beijing) Technology Co.,Ltd.</t>
  </si>
  <si>
    <t>Ferguson Sp. z o.o.</t>
  </si>
  <si>
    <t>Fiamm Automotive Czech, a.s.</t>
  </si>
  <si>
    <t>FilmLight Limited</t>
  </si>
  <si>
    <t>FINEDIGITAL Inc.</t>
  </si>
  <si>
    <t>Finis, Inc.</t>
  </si>
  <si>
    <t>Fisher-Price, Inc.</t>
  </si>
  <si>
    <t>FlexMedia Electronics Corporation</t>
  </si>
  <si>
    <t>FOAM Entertainment Ltd</t>
  </si>
  <si>
    <t>Forcepoint LLC.</t>
  </si>
  <si>
    <t>Ford Global Technologies, LLC</t>
  </si>
  <si>
    <t>Ford Motor Company</t>
  </si>
  <si>
    <t>Forworld Electronics Co. Ltd.</t>
  </si>
  <si>
    <t>Foshan Adon Electronics Co., Ltd.</t>
  </si>
  <si>
    <t>Foxda Technology Industrial (Shenzhen) Company Ltd.</t>
  </si>
  <si>
    <t>Fraunhofer-Gesellschaft zur Foerderung der angewandten Forschung, e.V.</t>
  </si>
  <si>
    <t>Fromorient Korea Co., Ltd.</t>
  </si>
  <si>
    <t>Frontier Silicon Limited</t>
  </si>
  <si>
    <t>FrontRow Calypso LLC</t>
  </si>
  <si>
    <t>FTA Communication Technologies s.a.r.l.</t>
  </si>
  <si>
    <t>FTR Limited</t>
  </si>
  <si>
    <t>Fuhu Inc.</t>
  </si>
  <si>
    <t>Fujikon Industrial Co., Ltd</t>
  </si>
  <si>
    <t>FUJITSU TECHNOLOGY SOLUTIONS GMBH</t>
  </si>
  <si>
    <t>Fusion Research, Inc.</t>
  </si>
  <si>
    <t>Futuri Canada Corp.</t>
  </si>
  <si>
    <t>Fuyoh Video Industry Co., Ltd.</t>
  </si>
  <si>
    <t>G-Lab GmbH</t>
  </si>
  <si>
    <t>Gakken Sta:Ful Co., Ltd.</t>
  </si>
  <si>
    <t>Genetec, Inc.</t>
  </si>
  <si>
    <t>Georg Lippitsch - MobileBroadcast</t>
  </si>
  <si>
    <t>GeoVision Inc.</t>
  </si>
  <si>
    <t>Gibson Innovations Limited</t>
  </si>
  <si>
    <t>Giga-byte Technology Co., Ltd.</t>
  </si>
  <si>
    <t>Global Marketing Insights Ltd.</t>
  </si>
  <si>
    <t>Good Way Technology Co., LTD.</t>
  </si>
  <si>
    <t>Goodview International Trading Limited.</t>
  </si>
  <si>
    <t>Gospell Digital Technology Co., Ltd</t>
  </si>
  <si>
    <t>GP Electronics (HK) Limited</t>
  </si>
  <si>
    <t>Grace Digital, Inc.</t>
  </si>
  <si>
    <t>Greenwave Scientific Inc., D/B/A Mohu</t>
  </si>
  <si>
    <t>Griffin Technology, Inc.</t>
  </si>
  <si>
    <t>Guangdong Changhong Electronics Co., Ltd.</t>
  </si>
  <si>
    <t>Guangzhou Huaduo Network Technology Company Limited</t>
  </si>
  <si>
    <t>Guangzhou Singular Gold Electronics Co., Ltd</t>
  </si>
  <si>
    <t>Guillemot Corporation SA</t>
  </si>
  <si>
    <t>HaiVision Systems, Inc.</t>
  </si>
  <si>
    <t>HAL Computing Pty Ltd</t>
  </si>
  <si>
    <t>Hale Devices, Inc.</t>
  </si>
  <si>
    <t>Hama GmbH &amp; Co KG</t>
  </si>
  <si>
    <t>HANDAN BroadInfoCom Co., Ltd.</t>
  </si>
  <si>
    <t>Harman International Industries, Incorporated</t>
  </si>
  <si>
    <t>Harvard International Limited</t>
  </si>
  <si>
    <t>Hasso-Plattner-Institut fur Softwaresystemtechnik GmbH</t>
  </si>
  <si>
    <t>Hauppauge Computer Works, Inc.</t>
  </si>
  <si>
    <t>HDigit Technology Limited</t>
  </si>
  <si>
    <t>Heed Development Ltd.</t>
  </si>
  <si>
    <t>Heritage Audio SL</t>
  </si>
  <si>
    <t>Hisense International Co., Ltd</t>
  </si>
  <si>
    <t>Hitachi Koki Co., Ltd.</t>
  </si>
  <si>
    <t>Hitachi Maxell Global Ltd.</t>
  </si>
  <si>
    <t>Hoist Group France</t>
  </si>
  <si>
    <t>Homecast Co., Ltd.</t>
  </si>
  <si>
    <t>Hong Kong Konka Ltd.</t>
  </si>
  <si>
    <t>Huizhou Foryou General Electronics Co., Ltd</t>
  </si>
  <si>
    <t>Hutek Co., Ltd.</t>
  </si>
  <si>
    <t>HYUNDAI MNSOFT, Inc.</t>
  </si>
  <si>
    <t>Hyundai Mobis Co., Ltd.</t>
  </si>
  <si>
    <t>IBEX Technology Co. Ltd.</t>
  </si>
  <si>
    <t>ICON Health &amp; Fitness, Inc.</t>
  </si>
  <si>
    <t>IFI H.K. LIMITED</t>
  </si>
  <si>
    <t>iMAGE iN MOTION GmbH</t>
  </si>
  <si>
    <t>Imagination Technologies Ltd.</t>
  </si>
  <si>
    <t>Imagine Communications Corp.</t>
  </si>
  <si>
    <t>ImmediaTV Corporation</t>
  </si>
  <si>
    <t>Imperative Apps</t>
  </si>
  <si>
    <t>IMS&amp;M TECHNOLOGY LTD</t>
  </si>
  <si>
    <t>In2digi Limited</t>
  </si>
  <si>
    <t>Inca Networks Incorporated</t>
  </si>
  <si>
    <t>Infomir LLC</t>
  </si>
  <si>
    <t>Ingenieurburo Mulka</t>
  </si>
  <si>
    <t>Inkel Corporation</t>
  </si>
  <si>
    <t>inMusic Brands, Inc</t>
  </si>
  <si>
    <t>INNES SA</t>
  </si>
  <si>
    <t>Innovative Sales Ltd.</t>
  </si>
  <si>
    <t>Inspur Group Co.,Ltd</t>
  </si>
  <si>
    <t>Institut fur Rundfunktechnik GmbH</t>
  </si>
  <si>
    <t>INTECH Co.,Ltd.</t>
  </si>
  <si>
    <t>Intek Digital Inc.</t>
  </si>
  <si>
    <t>INTELLIGENT SYSTEMS CO., LTD.</t>
  </si>
  <si>
    <t>InterMedia Solutions GmbH</t>
  </si>
  <si>
    <t>InterPhone Service Sp. z o.o.</t>
  </si>
  <si>
    <t>Intronics BV</t>
  </si>
  <si>
    <t>IP-Net LLC</t>
  </si>
  <si>
    <t>iP4.tv GmbH</t>
  </si>
  <si>
    <t>IRIVER, Ltd.</t>
  </si>
  <si>
    <t>IST GmbH</t>
  </si>
  <si>
    <t>ITW Food Equipment Group, LLC</t>
  </si>
  <si>
    <t>iZotope, Inc.</t>
  </si>
  <si>
    <t>J-Voxx Co., Ltd.</t>
  </si>
  <si>
    <t>Jazz Hipster Corporation</t>
  </si>
  <si>
    <t>Jiangsu Yinhe Electronics Co.,Ltd.</t>
  </si>
  <si>
    <t>Jiwumedia Co., Ltd.</t>
  </si>
  <si>
    <t>Johnson Health Tech North America, Inc.</t>
  </si>
  <si>
    <t>Jolla Ltd.</t>
  </si>
  <si>
    <t>Justsystems Corporation</t>
  </si>
  <si>
    <t>K-Tronics Technology Co., Ltd.</t>
  </si>
  <si>
    <t>KAGA ELECTRONICS CO., LTD.</t>
  </si>
  <si>
    <t>Kaifa Technology (HK) Ltd.</t>
  </si>
  <si>
    <t>Kaihou Japan Co., Ltd.</t>
  </si>
  <si>
    <t>Kar Hing Electronics Limited</t>
  </si>
  <si>
    <t>KCodes Corporation</t>
  </si>
  <si>
    <t>Keen High Holding (HK) Ltd.</t>
  </si>
  <si>
    <t>Keiyo Engineering Co., Ltd.</t>
  </si>
  <si>
    <t>Kensen Digital Limited</t>
  </si>
  <si>
    <t>Kensen Technologies Ltd.</t>
  </si>
  <si>
    <t>King Profit Trading Ltd.</t>
  </si>
  <si>
    <t>KIRNexus GmbH</t>
  </si>
  <si>
    <t>KT Tech Inc.</t>
  </si>
  <si>
    <t>Ktech Telecommunications, Inc.</t>
  </si>
  <si>
    <t>KWS-Electronic GmbH</t>
  </si>
  <si>
    <t>KYOCERA Corporation</t>
  </si>
  <si>
    <t>LaCie S.A.</t>
  </si>
  <si>
    <t>Lautsprecher Teufel GmbH</t>
  </si>
  <si>
    <t>Lead Technologies, Inc.</t>
  </si>
  <si>
    <t>Leaderwave Electronics (H.K.) Ltd.</t>
  </si>
  <si>
    <t>LecShare, Inc.</t>
  </si>
  <si>
    <t>Leema Electro Acoustics Ltd.</t>
  </si>
  <si>
    <t>Legrand Home Systems Inc.</t>
  </si>
  <si>
    <t>LEICA CAMERA AG</t>
  </si>
  <si>
    <t>Lenbrook Industries Limited</t>
  </si>
  <si>
    <t>Lenco Benelux bv</t>
  </si>
  <si>
    <t>Lenus Co., Ltd.</t>
  </si>
  <si>
    <t>Lightcomm Technology Co., Ltd.</t>
  </si>
  <si>
    <t>Lime Broadcast</t>
  </si>
  <si>
    <t>Lindemann audiotechnik GmbH</t>
  </si>
  <si>
    <t>Linn Products Limited</t>
  </si>
  <si>
    <t>Livescribe, Inc.</t>
  </si>
  <si>
    <t>Livestream LLC</t>
  </si>
  <si>
    <t>LiveTV LLC</t>
  </si>
  <si>
    <t>LIXIL Corporation</t>
  </si>
  <si>
    <t>LoiLo inc.</t>
  </si>
  <si>
    <t>Lubix Europe B.V.</t>
  </si>
  <si>
    <t>Lung Hwa Electronics Co., Ltd.</t>
  </si>
  <si>
    <t>MAGIX Software GmbH</t>
  </si>
  <si>
    <t>Magneti Marelli S.p.A.</t>
  </si>
  <si>
    <t>Magnum Dynalab Inc.</t>
  </si>
  <si>
    <t>Maike Industry(Shenzhen) Co., Ltd.</t>
  </si>
  <si>
    <t>Mandozzi Elettronica SA</t>
  </si>
  <si>
    <t>Maniway Industrial Limited</t>
  </si>
  <si>
    <t>MARUSYS Co., Ltd.</t>
  </si>
  <si>
    <t>Marzano Industrial (Holdings) Limited</t>
  </si>
  <si>
    <t>Mass Fidelity Inc.</t>
  </si>
  <si>
    <t>McIntosh Group Inc.</t>
  </si>
  <si>
    <t>Media Excel Inc.</t>
  </si>
  <si>
    <t>Mediacast Co., Ltd.</t>
  </si>
  <si>
    <t>Mediaware International Pty Ltd.</t>
  </si>
  <si>
    <t>MeeBoss Inc.</t>
  </si>
  <si>
    <t>MegaHouse Corporation</t>
  </si>
  <si>
    <t>Meiloon Industrial Co., Ltd</t>
  </si>
  <si>
    <t>Merry Electronics (Shenzhen) Co., Ltd.</t>
  </si>
  <si>
    <t>Metaswitch Networks, LTD.</t>
  </si>
  <si>
    <t>Metrological Media Innovations B.V.</t>
  </si>
  <si>
    <t>Mi-Sport Global Ltd</t>
  </si>
  <si>
    <t>Minnetonka Audio Software GmbH</t>
  </si>
  <si>
    <t>MIRACLE LINUX CORPORATION</t>
  </si>
  <si>
    <t>MIRAREED Co., Ltd.</t>
  </si>
  <si>
    <t>MiraVid, Inc.</t>
  </si>
  <si>
    <t>Mividi, Inc.</t>
  </si>
  <si>
    <t>Mobistel Korea Co., Ltd.</t>
  </si>
  <si>
    <t>Mobiwire SAS</t>
  </si>
  <si>
    <t>Modulation Index, LLC</t>
  </si>
  <si>
    <t>Moimstone Co., Ltd.</t>
  </si>
  <si>
    <t>Mu-tech Co., LTD</t>
  </si>
  <si>
    <t>Multiconn S.r.l.</t>
  </si>
  <si>
    <t>MUNDO READER SL</t>
  </si>
  <si>
    <t>Musaic Ltd.</t>
  </si>
  <si>
    <t>Musical Fidelity Ltd</t>
  </si>
  <si>
    <t>muvee Technologies Pte Ltd</t>
  </si>
  <si>
    <t>Muzik LLC</t>
  </si>
  <si>
    <t>Mytrax Inc.</t>
  </si>
  <si>
    <t>nac Image Technology, Inc.</t>
  </si>
  <si>
    <t>Nagravision SA</t>
  </si>
  <si>
    <t>Naim Audio Limited</t>
  </si>
  <si>
    <t>NASDAQ OMX</t>
  </si>
  <si>
    <t>NAVER Corporation</t>
  </si>
  <si>
    <t>Navigation Solutions, LLC</t>
  </si>
  <si>
    <t>Navis Automotive Systems, Inc.</t>
  </si>
  <si>
    <t>Ncast Corporation</t>
  </si>
  <si>
    <t>NDS Limited</t>
  </si>
  <si>
    <t>NetScout Systems, Inc.</t>
  </si>
  <si>
    <t>New Millennium Communications, Inc.</t>
  </si>
  <si>
    <t>NG Media</t>
  </si>
  <si>
    <t>Niceport Industrial Limited</t>
  </si>
  <si>
    <t>NIKON CORPORATION</t>
  </si>
  <si>
    <t>Nixon Digital Ltd.</t>
  </si>
  <si>
    <t>Notion Ink Design Labs Pvt. Ltd.</t>
  </si>
  <si>
    <t>NOXON Entwicklungs GmbH</t>
  </si>
  <si>
    <t>NTT IT CORPORATION</t>
  </si>
  <si>
    <t>Nuvyyo, Inc</t>
  </si>
  <si>
    <t>Oberon Technology Co., Ltd</t>
  </si>
  <si>
    <t>Ocean Digital (Macao Commercial Offshore) Ltd.</t>
  </si>
  <si>
    <t>Ocean Digital Technology Ltd.</t>
  </si>
  <si>
    <t>OKI Electric Industry Co., Ltd.</t>
  </si>
  <si>
    <t>Omniverse One World Television</t>
  </si>
  <si>
    <t>On Corporation</t>
  </si>
  <si>
    <t>Opentech Inc.</t>
  </si>
  <si>
    <t>Optoma Technology, Inc.</t>
  </si>
  <si>
    <t>OPTSP CO., LTD.</t>
  </si>
  <si>
    <t>Orban USA, Inc.</t>
  </si>
  <si>
    <t>Otaki (Hong Kong) Ltd.</t>
  </si>
  <si>
    <t>OTRUM AS</t>
  </si>
  <si>
    <t>OUYA Inc.</t>
  </si>
  <si>
    <t>Paradigm Electronics Inc.</t>
  </si>
  <si>
    <t>paragon AG</t>
  </si>
  <si>
    <t>PARROT AUTOMOTIVE SAS</t>
  </si>
  <si>
    <t>Perfect China Holding Limited</t>
  </si>
  <si>
    <t>Personify Inc</t>
  </si>
  <si>
    <t>Phorus, Inc.</t>
  </si>
  <si>
    <t>PICA Product Development, LLC</t>
  </si>
  <si>
    <t>Picturall Ltd.</t>
  </si>
  <si>
    <t>Pioneer DJ Corporation</t>
  </si>
  <si>
    <t>Pittasoft Co., Ltd.</t>
  </si>
  <si>
    <t>Pixavi AS</t>
  </si>
  <si>
    <t>Plantronics BV</t>
  </si>
  <si>
    <t>Plastoform Industries Ltd.</t>
  </si>
  <si>
    <t>Poikosoft</t>
  </si>
  <si>
    <t>Point of View B.V.</t>
  </si>
  <si>
    <t>Portland Tool &amp; Die, Inc.</t>
  </si>
  <si>
    <t>Positivo Informática S.A.</t>
  </si>
  <si>
    <t>PREVIA TECHNOLOGY (HK) LIMITED</t>
  </si>
  <si>
    <t>Procesamiento Digital Y Sistemas, S.L.</t>
  </si>
  <si>
    <t>PROMAX ELECTRONICA S.L.</t>
  </si>
  <si>
    <t>PTP Inc.</t>
  </si>
  <si>
    <t>Qbit GmbH</t>
  </si>
  <si>
    <t>Qsonix, Inc.</t>
  </si>
  <si>
    <t>Quantel Ltd</t>
  </si>
  <si>
    <t>R.W.C Co., Ltd.</t>
  </si>
  <si>
    <t>RADEMACHER Geraete-Elektronik GmbH</t>
  </si>
  <si>
    <t>Rakuten Kobo Inc.</t>
  </si>
  <si>
    <t>Raymarine UK Ltd.</t>
  </si>
  <si>
    <t>RB Controls Co., Ltd.</t>
  </si>
  <si>
    <t>REAL LIFE JAPAN CO., LTD.</t>
  </si>
  <si>
    <t>Really Simple Software, Inc</t>
  </si>
  <si>
    <t>Revo Technologies Ltd</t>
  </si>
  <si>
    <t>REVOLUTION CO., LTD.</t>
  </si>
  <si>
    <t>Revox GmbH</t>
  </si>
  <si>
    <t>RGB Systems Inc. dba Extron Electronics, Inc.</t>
  </si>
  <si>
    <t>Rhythm Watch Co., Ltd.</t>
  </si>
  <si>
    <t>RICOH COMPANY, LTD.</t>
  </si>
  <si>
    <t>RM Education Ltd</t>
  </si>
  <si>
    <t>Ro.Ve.R Laboratories S.p.A.</t>
  </si>
  <si>
    <t>Roberts Radio Limited</t>
  </si>
  <si>
    <t>root6 limited</t>
  </si>
  <si>
    <t>Rosemount Aerospace, Inc. a UTC Aerospace Systems Company, doing business as Goodrich Sensors and Integrated Systems</t>
  </si>
  <si>
    <t>Routon Electronic Co.,Ltd.</t>
  </si>
  <si>
    <t>Ruark Distribution Ltd</t>
  </si>
  <si>
    <t>Russound FMP Inc.</t>
  </si>
  <si>
    <t>S3 TV Technology Ltd.</t>
  </si>
  <si>
    <t>Sage Human Electronics International Co., Limited</t>
  </si>
  <si>
    <t>SanDisk Manufacturing, Ltd.</t>
  </si>
  <si>
    <t>Sangean Electronics Inc.</t>
  </si>
  <si>
    <t>SANSHIN ELECTRONICS CO., LTD.</t>
  </si>
  <si>
    <t>Scosche Industries Corp.</t>
  </si>
  <si>
    <t>Screen Service Broadcasting Technologies Spa</t>
  </si>
  <si>
    <t>Securenet Systems, Inc.</t>
  </si>
  <si>
    <t>SEFRAM</t>
  </si>
  <si>
    <t>SEGA Holdings Co., Ltd.</t>
  </si>
  <si>
    <t>SEIKO EPSON Corporation</t>
  </si>
  <si>
    <t>SEMP Toshiba Amazonas S.A.</t>
  </si>
  <si>
    <t>Sercomm Corporation</t>
  </si>
  <si>
    <t>Serif (Europe) Ltd.</t>
  </si>
  <si>
    <t>Shenzhen Adition Audio Science&amp;Technology Co., Ltd.</t>
  </si>
  <si>
    <t>Shenzhen Chuang Fa Sheng Electronics Co.,Ltd</t>
  </si>
  <si>
    <t>Shenzhen Chuangwei Electronic Appliance Tech Co., Ltd.</t>
  </si>
  <si>
    <t>Shenzhen Dforchance Electronic Co., Ltd.</t>
  </si>
  <si>
    <t>Shenzhen Giec Digital Co., Ltd.</t>
  </si>
  <si>
    <t>Shenzhen Heng Sheng Hui Digital Technology Co., Ltd.</t>
  </si>
  <si>
    <t>Shenzhen MTC Co.,Ltd</t>
  </si>
  <si>
    <t>Shenzhen Sea Star Technology Co., Ltd</t>
  </si>
  <si>
    <t>Shining Digital Limited</t>
  </si>
  <si>
    <t>Shinsei Electronics Co.,Ltd.</t>
  </si>
  <si>
    <t>Sichuan Changhong Network Technologies Co., Ltd.</t>
  </si>
  <si>
    <t>Simply Celestial Limited</t>
  </si>
  <si>
    <t>Skardin Industrial (UK) Limited</t>
  </si>
  <si>
    <t>Skullcandy, Inc.</t>
  </si>
  <si>
    <t>SM CNS Corp.</t>
  </si>
  <si>
    <t>SMS Audio, LLC</t>
  </si>
  <si>
    <t>SoftBank Commerce &amp; Service Corp.</t>
  </si>
  <si>
    <t>Sonoris Audio Engineering</t>
  </si>
  <si>
    <t>Sonos, Inc.</t>
  </si>
  <si>
    <t>SonoSite, Inc.</t>
  </si>
  <si>
    <t>Sound Devices, LLC</t>
  </si>
  <si>
    <t>Soundcast LLC</t>
  </si>
  <si>
    <t>Soundmax Electronics Limited</t>
  </si>
  <si>
    <t>Source Elements, LLC</t>
  </si>
  <si>
    <t>SOURCENEXT CORPORATION</t>
  </si>
  <si>
    <t>Spacial Audio Solutions, LLC</t>
  </si>
  <si>
    <t>Spectralink Corporation</t>
  </si>
  <si>
    <t>Sports Standards Inc.</t>
  </si>
  <si>
    <t>STARLINK ELECTRONICS CORP.</t>
  </si>
  <si>
    <t>Steinberg Media Technologies GmbH</t>
  </si>
  <si>
    <t>Stilus SA</t>
  </si>
  <si>
    <t>Streambox Inc.</t>
  </si>
  <si>
    <t>Streamit BV</t>
  </si>
  <si>
    <t>StreamVision Co., Ltd.</t>
  </si>
  <si>
    <t>Sumavision Technologies Co., LTD</t>
  </si>
  <si>
    <t>SUN DATA CENTER LIMITED</t>
  </si>
  <si>
    <t>SUSE LLC</t>
  </si>
  <si>
    <t>SUZUKI MUSICAL INST. MFG. CO., LTD.</t>
  </si>
  <si>
    <t>Syabas Technology Hong Kong, Limited</t>
  </si>
  <si>
    <t>Syniverse ICX Corporation</t>
  </si>
  <si>
    <t>T-21 Technologies LLC</t>
  </si>
  <si>
    <t>TAG V.S.</t>
  </si>
  <si>
    <t>Tai Sing Industrial Co. Ltd</t>
  </si>
  <si>
    <t>Taitex Co., Ltd.</t>
  </si>
  <si>
    <t>Tangent A/S</t>
  </si>
  <si>
    <t>Tatung Technology Inc</t>
  </si>
  <si>
    <t>Technica Del Arte BV</t>
  </si>
  <si>
    <t>TechniSat Digital GmbH, Dresden</t>
  </si>
  <si>
    <t>TECHNO BROAD INC.</t>
  </si>
  <si>
    <t>Techno Horizon Holdings Co., Ltd.</t>
  </si>
  <si>
    <t>Technogym Spa</t>
  </si>
  <si>
    <t>Technologies Humanware Inc</t>
  </si>
  <si>
    <t>Techtronic Power Tools Technology Limited</t>
  </si>
  <si>
    <t>Tektronix Inc.</t>
  </si>
  <si>
    <t>Telairity Semiconductor, Inc.</t>
  </si>
  <si>
    <t>TELE SYSTEM Communications PTE. LTD.</t>
  </si>
  <si>
    <t>Telecommunication Technologies Ltd.</t>
  </si>
  <si>
    <t>TELEVES,S.A.</t>
  </si>
  <si>
    <t>Teleview Co., Ltd.</t>
  </si>
  <si>
    <t>Teliris, Inc.</t>
  </si>
  <si>
    <t>TELNET REDES INTELIGENTES S.A.</t>
  </si>
  <si>
    <t>TELSEY SRL</t>
  </si>
  <si>
    <t>Teradek, LLC</t>
  </si>
  <si>
    <t>Tesla Motors, Inc.</t>
  </si>
  <si>
    <t>Thai Habel Industrial Co., Ltd.</t>
  </si>
  <si>
    <t>The Rotel Co., Ltd.</t>
  </si>
  <si>
    <t>Thinkware Systems Corporation</t>
  </si>
  <si>
    <t>TieLine Technology</t>
  </si>
  <si>
    <t>Tivoli Audio, LLC</t>
  </si>
  <si>
    <t>TLS Corp.</t>
  </si>
  <si>
    <t>TMY Co., Ltd.</t>
  </si>
  <si>
    <t>Todd, Michael &amp; James, Inc.</t>
  </si>
  <si>
    <t>TOMY COMPANY, LTD.</t>
  </si>
  <si>
    <t>Tonika Electronics Technology (Shenzhen) Co.,Ltd.</t>
  </si>
  <si>
    <t>TONY ELECTRONICS CO., LIMITED</t>
  </si>
  <si>
    <t>Topromise Company Limited</t>
  </si>
  <si>
    <t>Tottori Star Electronics Co., Ltd.</t>
  </si>
  <si>
    <t>Towada Electronics Co., Ltd.</t>
  </si>
  <si>
    <t>Traffic Sim Co., Ltd.</t>
  </si>
  <si>
    <t>TRANZAS, INC.</t>
  </si>
  <si>
    <t>TRUEN Co., Ltd.</t>
  </si>
  <si>
    <t>Truesell Co., Ltd.</t>
  </si>
  <si>
    <t>Try Win Co., Ltd.</t>
  </si>
  <si>
    <t>TT Micro AS</t>
  </si>
  <si>
    <t>Tunbow Group Limited</t>
  </si>
  <si>
    <t>Turbo Systems Co., Ltd.</t>
  </si>
  <si>
    <t>TVT Video Technologies, Inc.</t>
  </si>
  <si>
    <t>TWINBIRD CORPORATION</t>
  </si>
  <si>
    <t>TYMPHANY HK LTD</t>
  </si>
  <si>
    <t>Ubivelox Inc.</t>
  </si>
  <si>
    <t>Uniqoteq Ltd.</t>
  </si>
  <si>
    <t>Valuable Technologies Ltd</t>
  </si>
  <si>
    <t>VDMS LLC</t>
  </si>
  <si>
    <t>Vee24, Inc.</t>
  </si>
  <si>
    <t>VentureCraft, Inc.</t>
  </si>
  <si>
    <t>Verbatim Limited</t>
  </si>
  <si>
    <t>Viavi Solutions Inc.</t>
  </si>
  <si>
    <t>Vicxon Corporation</t>
  </si>
  <si>
    <t>VidCheck Ltd</t>
  </si>
  <si>
    <t>Videotec s.p.a.</t>
  </si>
  <si>
    <t>Vidmaker Inc.</t>
  </si>
  <si>
    <t>Viewmedia Holding ApS</t>
  </si>
  <si>
    <t>Voicebird ApS.</t>
  </si>
  <si>
    <t>VOXOA Inc.</t>
  </si>
  <si>
    <t>Voyetra Turtle Beach, Inc.</t>
  </si>
  <si>
    <t>VTech Electronics Ltd.</t>
  </si>
  <si>
    <t>Web Resources, LLC</t>
  </si>
  <si>
    <t>Wegener Communications Inc.</t>
  </si>
  <si>
    <t>WellAV Technologies Ltd.</t>
  </si>
  <si>
    <t>WideOrbit Inc.</t>
  </si>
  <si>
    <t>Wilhelm Sihn jr. GmbH &amp; Co.KG</t>
  </si>
  <si>
    <t>WiMobilis Digital Technologies Informatica e Industria Ltda</t>
  </si>
  <si>
    <t>World Electric (Thailand) LTD.</t>
  </si>
  <si>
    <t>XAVi Technologies Corp</t>
  </si>
  <si>
    <t>YAMAHA CORPORATION</t>
  </si>
  <si>
    <t>Yamaya Shoten Co., Ltd.</t>
  </si>
  <si>
    <t>Yohei Murakami</t>
  </si>
  <si>
    <t>YUAN High-Tech Development Co., Ltd.</t>
  </si>
  <si>
    <t>YUPITERU CORPORATION</t>
  </si>
  <si>
    <t>YY Inc.</t>
  </si>
  <si>
    <t>Z3 Technology, LLC</t>
  </si>
  <si>
    <t>Zenterio AB</t>
  </si>
  <si>
    <t>Zhejiang Tianle Digital Electric Co. Ltd.</t>
  </si>
  <si>
    <t>Zhong Shan City Litai Electronic Industrial Co.,Ltd.</t>
  </si>
  <si>
    <t>Zhong Shan City Richsound Electronic Industrial Ltd</t>
  </si>
  <si>
    <t>Zoetac Industrial Limited</t>
  </si>
  <si>
    <t>ZOOM Corporation</t>
  </si>
  <si>
    <t>Zylux Acoustic Corporation</t>
  </si>
  <si>
    <t>On Via AAC  Licensee or Licensor List?  1=yes</t>
  </si>
  <si>
    <t>data from via website accessed july 2, 2016</t>
  </si>
  <si>
    <t>AT&amp;T Corp.</t>
  </si>
  <si>
    <t>as subsidiary of Tcl</t>
  </si>
  <si>
    <t>Bullitt Audio Group</t>
  </si>
  <si>
    <t>listed as joint venture</t>
  </si>
  <si>
    <t>licensor</t>
  </si>
  <si>
    <t>listed with byd</t>
  </si>
  <si>
    <t>(BBK already listed with 4 subs)</t>
  </si>
  <si>
    <t>bbk already listed for 4 b subs</t>
  </si>
  <si>
    <t>coolpad already listed</t>
  </si>
  <si>
    <t>subsidiary of bbk</t>
  </si>
  <si>
    <t>already listed with TCL</t>
  </si>
  <si>
    <t>with microsoft mobile</t>
  </si>
  <si>
    <t>already listed with Alcatel</t>
  </si>
  <si>
    <t>4 subsidaries of BBK listed  we code each separately below</t>
  </si>
  <si>
    <t>Companies Paying AAC Via License Fees</t>
  </si>
  <si>
    <t>Listed as licensee or Licensor</t>
  </si>
  <si>
    <t>Notes to licensees</t>
  </si>
  <si>
    <t>Estimated Smartphone Shipments 2015</t>
  </si>
  <si>
    <t>Notes to Estimate</t>
  </si>
  <si>
    <t>Total Royalties</t>
  </si>
  <si>
    <t>For 2013, 2014, and 2015, we take reported revenues.  Samsung Contract was not reported to Ericsson AB, but to Ericsson, presumably because its arrangement with ST Electronics ended.</t>
  </si>
  <si>
    <t xml:space="preserve">Licensors include: </t>
  </si>
  <si>
    <t>AT&amp;T Intellectual Property</t>
  </si>
  <si>
    <t>KDDI Corporation, Inc.</t>
  </si>
  <si>
    <t>Koninklijke KPN N.V.</t>
  </si>
  <si>
    <t>Newracom, Inc.</t>
  </si>
  <si>
    <t>NTT DOCOMO INC.</t>
  </si>
  <si>
    <t>SK Telecom</t>
  </si>
  <si>
    <t>Less than 2.5 m</t>
  </si>
  <si>
    <t>2.5 to 6.25m</t>
  </si>
  <si>
    <t>6.25 to 12.5m</t>
  </si>
  <si>
    <t>12.5 to 25m</t>
  </si>
  <si>
    <t>25 to 50m</t>
  </si>
  <si>
    <t>50m+</t>
  </si>
  <si>
    <t>These are reset each quarter</t>
  </si>
  <si>
    <t xml:space="preserve">The rates are 1 percent of the NSP, with a maximum royalty rate per unit of $2 and a minimum royalty rate of $1.  </t>
  </si>
  <si>
    <t>There are then volume discounts calculated by quarter, as follows.</t>
  </si>
  <si>
    <t xml:space="preserve">We assume that by 2015 OEMs were paying the royalty rate for the 3rd year. </t>
  </si>
  <si>
    <t xml:space="preserve">We then assume that the "others" category must include sufficient manufacturers that no manufacturer produces more than 14.4 m units (the lowest recorded figure in 2015 are reported in ee times above </t>
  </si>
  <si>
    <t>Other 1</t>
  </si>
  <si>
    <t>Other 2</t>
  </si>
  <si>
    <t>Other 3</t>
  </si>
  <si>
    <t>Other 4</t>
  </si>
  <si>
    <t>Other 5</t>
  </si>
  <si>
    <t>Other 6</t>
  </si>
  <si>
    <t>Other 7</t>
  </si>
  <si>
    <t>Other 8</t>
  </si>
  <si>
    <t>Other 9</t>
  </si>
  <si>
    <t>Other 10</t>
  </si>
  <si>
    <t>other 11</t>
  </si>
  <si>
    <t>Other 12</t>
  </si>
  <si>
    <t>Other 13</t>
  </si>
  <si>
    <t>Other 14</t>
  </si>
  <si>
    <t>Other 15</t>
  </si>
  <si>
    <t>Other 16</t>
  </si>
  <si>
    <t>Other 17</t>
  </si>
  <si>
    <t>Other 18</t>
  </si>
  <si>
    <t>Other 19</t>
  </si>
  <si>
    <t>Other 20</t>
  </si>
  <si>
    <t>Other 21</t>
  </si>
  <si>
    <t>Other 22</t>
  </si>
  <si>
    <t>Other 23</t>
  </si>
  <si>
    <t>Other 24</t>
  </si>
  <si>
    <t>http://www.theverge.com/2016/5/24/11762004/huawei-samsung-lte-patent-lawsuit</t>
  </si>
  <si>
    <t>http://www.patentlyapple.com/patently-apple/2016/05/huawei-files-an-11-count-patent-infringement-lawsuit-against-samsung-in-china-and-the-us.html</t>
  </si>
  <si>
    <t>http://www.hi3p.com/2016/05/26/patent-battle-to-bite-the-hard-huawei-sued-samsung-infringement-52218.html</t>
  </si>
  <si>
    <t>According to its SEC 10K filing of 2015, page 3, "The Company pursues licensing in three key markets: Mobile Cloud &amp; Services, Infrastructure related to wireless networks and Mobile Devices."</t>
  </si>
  <si>
    <t>Unwired Planet, SEC 10K, 2015, page 29</t>
  </si>
  <si>
    <t xml:space="preserve">Each panel of data presents smartphone and/or feature phone sales data by manufacturer as reported by different industry analyst services, such as Gartner, IDC, and IC Insights. </t>
  </si>
  <si>
    <t xml:space="preserve">We use the IC Insights data, published in eeTimes, to estimate sales by firm when we calculate royalties paid by OEMs to patent pools, because IC Insights provides broader coverage than the other sources. </t>
  </si>
  <si>
    <t>Licensing Revenues</t>
  </si>
  <si>
    <t>AAC Licensors from AAC website, accessed June 30 2015</t>
  </si>
  <si>
    <t xml:space="preserve">Assumptions:   </t>
  </si>
  <si>
    <t xml:space="preserve">We assume that all licensees pay per the pubished license terms. </t>
  </si>
  <si>
    <t>We also assume that  Apple, Oppo, and Vivo pay per their actual shipments (per IC Insights data published in ee Times--http://www.eetimes.com/document.asp?doc_id=1329884&amp;_mc=RSS_EET_EDT)</t>
  </si>
  <si>
    <t>Royalty Rates for Sipro WCDMA Patent Pool</t>
  </si>
  <si>
    <t>In year 3, the maximum royalty rate was $1 per unit.</t>
  </si>
  <si>
    <t>We make the assumption that OEMs were paying the year 3 royalty rate for two reasons.</t>
  </si>
  <si>
    <t>1.  First, SIPRO licensing program was established in 2012.</t>
  </si>
  <si>
    <t xml:space="preserve">2.  Second, the SIPRO licensing program allowed OEMs to pay the year 3 royalty rate in years 1 and 2, if the OEM entered into an agreement with SIPRO within 6 months of making contact. </t>
  </si>
  <si>
    <t>Royalty rates indicated in Table 1 for Year 3 and beyond will be applicable as of Year 1;</t>
  </si>
  <si>
    <t>Interest on Licensed Products Sold prior to the execution of a JLA will be waived."</t>
  </si>
  <si>
    <t xml:space="preserve"> IPR Licensing reported in 2012 Annual Report</t>
  </si>
  <si>
    <t>IPR Licensing reported in 2010 and 2009 Annual Report (before accounting for spinoff to Ericsson AB)</t>
  </si>
  <si>
    <t>Patent Pools</t>
  </si>
  <si>
    <t>Worldwide Sales of Smartphones in 2015 by IC Insights</t>
  </si>
  <si>
    <t>Yulong (coolpad)</t>
  </si>
  <si>
    <t>Nokia (sold to Microsoft in 2014)</t>
  </si>
  <si>
    <t>Research in Motion</t>
  </si>
  <si>
    <t>Google Motorola</t>
  </si>
  <si>
    <t>IDC shipment data as % of Gartner Data</t>
  </si>
  <si>
    <t>Worldwide Sales of Smart and Mobile Phones  to End Users from Gartner</t>
  </si>
  <si>
    <t>Smartphones m  2015</t>
  </si>
  <si>
    <t>Smartphones m 2014</t>
  </si>
  <si>
    <t>Smartphones m 2013</t>
  </si>
  <si>
    <t>Smartphones m 2012</t>
  </si>
  <si>
    <t>Smartphones m 2011</t>
  </si>
  <si>
    <t>Smartphones m 2010</t>
  </si>
  <si>
    <t>Smartphones m 2009</t>
  </si>
  <si>
    <t>IC Insights as % Gartner</t>
  </si>
  <si>
    <t xml:space="preserve">Mobile Phones 2010 m </t>
  </si>
  <si>
    <t>Mobile Phones m 2011</t>
  </si>
  <si>
    <t>Mobile Phones m 2012</t>
  </si>
  <si>
    <t>Mobile Phones m 2013</t>
  </si>
  <si>
    <t>Mobile Phones m 2014</t>
  </si>
  <si>
    <t>Mobile Phones m 2009</t>
  </si>
  <si>
    <t>Sony (and Sony Ericsson)</t>
  </si>
  <si>
    <t>Overview of AT&amp;T 802.11n and 802.11ac Patent Licensing Program</t>
  </si>
  <si>
    <t>Exemplary U.S. Patents</t>
  </si>
  <si>
    <t>US 6072769</t>
  </si>
  <si>
    <t>US 6127971</t>
  </si>
  <si>
    <t>US 6131016</t>
  </si>
  <si>
    <t>US 7120200</t>
  </si>
  <si>
    <t>US 7539172</t>
  </si>
  <si>
    <t>US 8355475</t>
  </si>
  <si>
    <t>US 8386898</t>
  </si>
  <si>
    <t>Patent License Fees (U.S. Dollars)</t>
  </si>
  <si>
    <t>Commercial Networking - Wireless access point devices and routers which are intended for commercial use.</t>
  </si>
  <si>
    <t>Prices are effective December 3, 2015.</t>
  </si>
  <si>
    <t>Consumer Electronics</t>
  </si>
  <si>
    <t>Future Yearly Royalty Caps</t>
  </si>
  <si>
    <t>Total Royalty Cap under the Patents</t>
  </si>
  <si>
    <t>Licensees</t>
  </si>
  <si>
    <t>1. ARRIS</t>
  </si>
  <si>
    <t>2. Kyocera</t>
  </si>
  <si>
    <t>3. ZTE Corporation</t>
  </si>
  <si>
    <t>The following current licensees include, but are not limited to the following:</t>
  </si>
  <si>
    <t xml:space="preserve">Assumptions: We assume that since the effective date of the prices is Dec 3 2015 that no licensing income was earned in 2015. </t>
  </si>
  <si>
    <t>Overview of AT&amp;T MPEG-4 Patent Licensing Program</t>
  </si>
  <si>
    <t>MPEG-4 Video Program Patents</t>
  </si>
  <si>
    <t>Patent License Fees (US Dollars)</t>
  </si>
  <si>
    <t>MPEG-4 Part 2</t>
  </si>
  <si>
    <t>Video Decoder $0.16 per unit</t>
  </si>
  <si>
    <t>Video Encoder $0.16 per unit</t>
  </si>
  <si>
    <t>MPEG-4 Part 10 (H.264)</t>
  </si>
  <si>
    <t>MPEG-4 Part 10 Video Decoder</t>
  </si>
  <si>
    <t>$0.15 per unit for units 1-5M per calendar year</t>
  </si>
  <si>
    <t>$0.08 per unit for each unit over 5M per calendar year</t>
  </si>
  <si>
    <t>MPEG-4 Part 10 Video Encoder</t>
  </si>
  <si>
    <t>MPEG-4 Part 10 Video Codec</t>
  </si>
  <si>
    <t>Caps on Future Royalties</t>
  </si>
  <si>
    <t>MPEG-4 Part 2: $2.0M per calendar year</t>
  </si>
  <si>
    <t>MPEG-4 Part 10 (H.264): $3.75M per calendar year</t>
  </si>
  <si>
    <t>Enterprise Cap</t>
  </si>
  <si>
    <t>A Licensee’s payments for activities occurring prior to the Effective Date and for future royalty payments over the Term shall not exceed $50,000,000</t>
  </si>
  <si>
    <t>Licensees as of July 13 2016 (when this website was accessed)</t>
  </si>
  <si>
    <t>The twenty (20) current licensees include, but are not limited to the following:</t>
  </si>
  <si>
    <t>2. B-Line Medical LLC</t>
  </si>
  <si>
    <t>3. Canon Inc.</t>
  </si>
  <si>
    <t>4. Casio Computer Co., Ltd.</t>
  </si>
  <si>
    <t>5. CounterPath Corporation</t>
  </si>
  <si>
    <t>6. Dish Network, LLC</t>
  </si>
  <si>
    <t>7. EchoStar Corporation</t>
  </si>
  <si>
    <t>8. Kyocera Corporation</t>
  </si>
  <si>
    <t>10. LG Electronics</t>
  </si>
  <si>
    <t>11. Nero AG</t>
  </si>
  <si>
    <t>12. Pentax/Ricoh Imaging Co., Ltd.</t>
  </si>
  <si>
    <t>13. Rovi Corporation</t>
  </si>
  <si>
    <t>14. Sanyo Techno Solutions</t>
  </si>
  <si>
    <t>15. Sony Corporation</t>
  </si>
  <si>
    <t>16. Sony Mobile Communications, Inc.</t>
  </si>
  <si>
    <t xml:space="preserve">Licensees 17, 18, 19, 20 not enumerated. </t>
  </si>
  <si>
    <t>Estimate of Via AAC licensing royalties in 2015</t>
  </si>
  <si>
    <t xml:space="preserve">Of the 16 listed licensees, only Kyocera, LG, and Sony Mobile are mobile phone OEMs. </t>
  </si>
  <si>
    <t>We assume that all three paid the enterprise caps of 2m and 3.75m in 2012, 2013, 2014, and 2015.  (Licensing program created January 1 2012)</t>
  </si>
  <si>
    <t>Kyocera</t>
  </si>
  <si>
    <t>Sony Mobile</t>
  </si>
  <si>
    <t>Sisvel WiFi</t>
  </si>
  <si>
    <t>Website accessed July 13 2016</t>
  </si>
  <si>
    <t>The remaining portion of the portfolio consists of implementation patents including video encoding optimization technologies.</t>
  </si>
  <si>
    <t>The royalty rates per consumer Wireless capable product for a Sisvel Wireless license under the Sisvel Wireless SEPs are as follows:</t>
  </si>
  <si>
    <t>IP Com</t>
  </si>
  <si>
    <t>Qualcomm</t>
  </si>
  <si>
    <t>Interdigital</t>
  </si>
  <si>
    <t>Ericsson</t>
  </si>
  <si>
    <t>Parkervision</t>
  </si>
  <si>
    <t>VirnetX</t>
  </si>
  <si>
    <t>IP Bridge</t>
  </si>
  <si>
    <t>Tessera</t>
  </si>
  <si>
    <t>Marathon Patent Group</t>
  </si>
  <si>
    <t>Rambus</t>
  </si>
  <si>
    <t>According to FotoNation's website, at the end of 2015 its technology had been used in about a billion smartphones.</t>
  </si>
  <si>
    <t xml:space="preserve">Tessera claims that her inventions are found in 100 percent of today’s smartphones </t>
  </si>
  <si>
    <t>1.  Note: fiscal years vary by company.</t>
  </si>
  <si>
    <t>AAC Licensees from AAC website, accessed June 30 2016</t>
  </si>
  <si>
    <t>From Broadcom's 2015 10K, page 17</t>
  </si>
  <si>
    <t>Total Revenues</t>
  </si>
  <si>
    <t xml:space="preserve">What percentage of these revenues should be attributed to mobile phones? </t>
  </si>
  <si>
    <t>Quarter</t>
  </si>
  <si>
    <t>Global DRAM Revenue (billions $)</t>
  </si>
  <si>
    <t>Nanya Revenue, Global Mobile DRAM</t>
  </si>
  <si>
    <t>SK Hynix Revenue, Global Mobile DRAM</t>
  </si>
  <si>
    <t>Winbond Revenue, Global Mobile DRAM</t>
  </si>
  <si>
    <t>-</t>
  </si>
  <si>
    <t>Samsung Revenue in Millions, Global  Mobile DRAM</t>
  </si>
  <si>
    <t>Elpida Revenue in Millions, Global  Mobile DRAM</t>
  </si>
  <si>
    <t>Micron Group Revenue in Millions, Global  Mobile DRAM</t>
  </si>
  <si>
    <t>Total Revenue Millions, Global Mobile DRAM</t>
  </si>
  <si>
    <t>Mobile DRAM as % of Total DRAM Revenues</t>
  </si>
  <si>
    <t>Expressing the data annually, rather than quarterly we get:</t>
  </si>
  <si>
    <t>Global DRAM Revenues</t>
  </si>
  <si>
    <t>Sum of Mobile DRAM Revenues</t>
  </si>
  <si>
    <t>Mobile DRAM as % of Global DRAM</t>
  </si>
  <si>
    <t>Percent of Revenues from Mobile DRAM</t>
  </si>
  <si>
    <t>Estimated Revenues from Mobile DRAM</t>
  </si>
  <si>
    <t>We assume that 2007 percent is the same as 2012, an assumption that biases results upwards</t>
  </si>
  <si>
    <t>We assume that 2009 percent is the same as 2012, an assumption that biases results upwards</t>
  </si>
  <si>
    <t>We assume that 2008 percent is the same as 2012, an assumption that biases results upwards</t>
  </si>
  <si>
    <t>We assume that 2010 percent is the same as 2012, an assumption that biases results upwards</t>
  </si>
  <si>
    <t>We assume that 2011 percent is the same as 2012, an assumption that biases results upwards</t>
  </si>
  <si>
    <t>"Our strategy consists primarily of two initiatives:</t>
  </si>
  <si>
    <t>Semiconductor Licensing</t>
  </si>
  <si>
    <t>Data Processing</t>
  </si>
  <si>
    <t>Communications</t>
  </si>
  <si>
    <t>Automotive</t>
  </si>
  <si>
    <t>Industrial</t>
  </si>
  <si>
    <t>Estimated Tessera Mobile Semic Licensing</t>
  </si>
  <si>
    <t>Intellectual Ventures</t>
  </si>
  <si>
    <t>Exchange Rate</t>
  </si>
  <si>
    <t>From 2015 10k, page1</t>
  </si>
  <si>
    <t>2015 10k, page 5</t>
  </si>
  <si>
    <t>TLI Communications</t>
  </si>
  <si>
    <t>Vantage Point Technologies</t>
  </si>
  <si>
    <t>IP Liquidity Ventures, LLC</t>
  </si>
  <si>
    <t>Orthophenix, LLC</t>
  </si>
  <si>
    <t>Computer networking</t>
  </si>
  <si>
    <t>Suggests medical technology</t>
  </si>
  <si>
    <t>Clouding Corp.</t>
  </si>
  <si>
    <t>Selene Communications Technologies,</t>
  </si>
  <si>
    <t>CRFD Research, Inc.</t>
  </si>
  <si>
    <t xml:space="preserve">IP Liquidity Ventures, LLC </t>
  </si>
  <si>
    <t>Realy IP, LLC</t>
  </si>
  <si>
    <t>Webpage translator</t>
  </si>
  <si>
    <t>Network and data managemen</t>
  </si>
  <si>
    <t>Multicasting</t>
  </si>
  <si>
    <t>2015 10k</t>
  </si>
  <si>
    <t>2014 10k</t>
  </si>
  <si>
    <t xml:space="preserve">According to an IV presentation of 2012 </t>
  </si>
  <si>
    <t>• Samsung Nov. 2010</t>
  </si>
  <si>
    <t>• HTC Nov. 2010</t>
  </si>
  <si>
    <t>• RIM March 2011</t>
  </si>
  <si>
    <t>• Wistron Sept. 2011</t>
  </si>
  <si>
    <t>• Pantech Oct. 2011</t>
  </si>
  <si>
    <t>• LG Nov. 2011</t>
  </si>
  <si>
    <t>2015 shipments m</t>
  </si>
  <si>
    <t>Via AAC Licensee</t>
  </si>
  <si>
    <t>No</t>
  </si>
  <si>
    <t>Yes</t>
  </si>
  <si>
    <t>Top Ten as Percent of Total</t>
  </si>
  <si>
    <t>That is, we assume that it penetrates 30 percent of the market for "other", which is to say that beyond Apple, Oppo, and Vivo, it licenses an additional 102,000,000 units.</t>
  </si>
  <si>
    <t>This procedure likely biases results upwards.</t>
  </si>
  <si>
    <t xml:space="preserve">Via AAC %  Market </t>
  </si>
  <si>
    <t>We further assume that that this 102m units are equally divided among the 29 remaining active OEMs that license from Via AAC, or 3.522 million units each.</t>
  </si>
  <si>
    <t>We assume that it took an equal share of Via AACs penetration of the "Other" market, 30% of 340.5 m units divided by 29</t>
  </si>
  <si>
    <t xml:space="preserve">We further assume that the Via AAC penetration of the overall market is reflected in its penetration of the market of the top 12 OEMs, per the eetimes article referenced above </t>
  </si>
  <si>
    <t>Calculating the market penetration of MPEGLA MPEG4</t>
  </si>
  <si>
    <t>MPEGla MPEG4 Licensee?</t>
  </si>
  <si>
    <t>yes</t>
  </si>
  <si>
    <t>no</t>
  </si>
  <si>
    <t>Percent of top 12?</t>
  </si>
  <si>
    <t xml:space="preserve">MPEGLA licenses to the 6 of the top 12 phone OEMs in 2015, accounting for 72 percent of phones shipped. </t>
  </si>
  <si>
    <t>We therefore assume that it also accounts for 72 percent of "other" production, outside of the top 12 (.72*340.5m)=245,160,000</t>
  </si>
  <si>
    <t xml:space="preserve">There are 32 licensees in total, of which 6 are accounted for in the top 12.  </t>
  </si>
  <si>
    <t>It follows that there are 26 additional licensees, and we assume that each of these 26 takes an equal share of the 245,160,000 phones in the other category.</t>
  </si>
  <si>
    <t xml:space="preserve">Thus, we allocate to each of these 26 licensees 9,429,231 phones. </t>
  </si>
  <si>
    <t>Calculating  MPEG4 Royalty Revenues</t>
  </si>
  <si>
    <t>In order to estimate the total MPEG4 royalty, we simply need to know the number of smartphone manufacturers worldwide</t>
  </si>
  <si>
    <t>MPEGLA MPEG4 Enterprise Capped License 2015 (See MPEG LA License Rate, above)</t>
  </si>
  <si>
    <t>MPEGLA MPEG4 License Revenues 2015 (assumes all 32 OEMs listed as licensees pay the cap)</t>
  </si>
  <si>
    <t>Ericcson AB Listed, but discontinued production</t>
  </si>
  <si>
    <t>Would fall under enterprise cap of Lenovo</t>
  </si>
  <si>
    <t>Would fall under TCL, as it is no longer its own brand</t>
  </si>
  <si>
    <t>In order to hit the enterprise cap, a firm would need to produce 59.9 million phones per year</t>
  </si>
  <si>
    <t>MPEGla AVC H264 Licensee?</t>
  </si>
  <si>
    <t>Most OEMS will therefore not reach the cap.</t>
  </si>
  <si>
    <t>Calculation of MPEGLA AVC/H.264 Royalties by Firm</t>
  </si>
  <si>
    <t>listed but discontinued production</t>
  </si>
  <si>
    <t>On MPEG H.264 Licensee List?  1=yes</t>
  </si>
  <si>
    <t>Production 2015</t>
  </si>
  <si>
    <t>captured in TCL enterprise cap</t>
  </si>
  <si>
    <t>discontinued even though listed as licensee</t>
  </si>
  <si>
    <t>We therfore assume that it has a market penetration of 69 percent of "other" OEMs (not in the top 12), which is to say 211.1m phones</t>
  </si>
  <si>
    <t xml:space="preserve">MPEGLA AVC H.264 has a market penetration of 69 percent of the top 12 OEMs.  Six firms are in this group. </t>
  </si>
  <si>
    <t>We assume that these 211.1 million phones are divided equally among the 26OEMs who are MPEGLA AVC.H264 licensees who</t>
  </si>
  <si>
    <t>are outside of the top 12 OEMs.  That is, we assume that all licensed firms outside of the top 12 produced 8,119,615 phones in 2015.</t>
  </si>
  <si>
    <t>Calculating the MPEGLA AVC H.264 market penetration, based on its market penetration among the top 12 OEMs</t>
  </si>
  <si>
    <t>Royalty First 100K</t>
  </si>
  <si>
    <t>Royalty 100k to 5m (20 cents)</t>
  </si>
  <si>
    <t>Royalty above 5m</t>
  </si>
  <si>
    <t>Total Royalty (Cap is 6.5m)</t>
  </si>
  <si>
    <t>Total Estimated Royalty Revenue, MPEGLA AVC.H264 in 2015</t>
  </si>
  <si>
    <t xml:space="preserve">Interviews with industry experts yield the following information. </t>
  </si>
  <si>
    <t xml:space="preserve">Philips reports licensing revenues with its Innovation Group and Services unit.  </t>
  </si>
  <si>
    <t>Table of Contents</t>
  </si>
  <si>
    <t>Overview</t>
  </si>
  <si>
    <t>Please cite to this dataset as follows:</t>
  </si>
  <si>
    <t>Alexander Galetovic, Stephen Haber, and Lew Zaretzki</t>
  </si>
  <si>
    <t>A New Dataset on Mobile Phone Patent License Royalties</t>
  </si>
  <si>
    <t>Confirmed</t>
  </si>
  <si>
    <t>ALL RIGHTS RESERVED</t>
  </si>
  <si>
    <t>Published: August 27, 2016</t>
  </si>
  <si>
    <t>© Authors, 2016</t>
  </si>
  <si>
    <t>Alexander Galetovic</t>
  </si>
  <si>
    <t>Stephen Haber</t>
  </si>
  <si>
    <t>Lew Zaretzki</t>
  </si>
  <si>
    <t>Lew@HamiltonIPV.com</t>
  </si>
  <si>
    <t>(650) 924-1769</t>
  </si>
  <si>
    <t>Managing Director</t>
  </si>
  <si>
    <t>Hamilton IPV</t>
  </si>
  <si>
    <t>To discuss the contents of this document, including improvements and suggestions, please contact the authors:</t>
  </si>
  <si>
    <t>http://stephen-haber.com</t>
  </si>
  <si>
    <t>haber@stanford.edu</t>
  </si>
  <si>
    <t>http://www.hoover.org/profiles/alexander-galetovic</t>
  </si>
  <si>
    <t>Professor of Economics</t>
  </si>
  <si>
    <t>Universidad de los Andes</t>
  </si>
  <si>
    <t>Santiago, Chile</t>
  </si>
  <si>
    <t>Palo Alto, California USA</t>
  </si>
  <si>
    <t>Los Altos, California USA</t>
  </si>
  <si>
    <t>alexander@galetovic.cl</t>
  </si>
  <si>
    <t>Documented</t>
  </si>
  <si>
    <t>Contact Information</t>
  </si>
  <si>
    <t>Citation Information</t>
  </si>
  <si>
    <t>Title page</t>
  </si>
  <si>
    <t>Introduction</t>
  </si>
  <si>
    <t>Acacia Technologies</t>
  </si>
  <si>
    <t>Summary</t>
  </si>
  <si>
    <t>ATT 802.11</t>
  </si>
  <si>
    <t>ATT MPEG4</t>
  </si>
  <si>
    <t>Via Licensing LTE</t>
  </si>
  <si>
    <t>Via Licensing AAC</t>
  </si>
  <si>
    <t>SISVEL LTE</t>
  </si>
  <si>
    <t>SISVEL WiFi</t>
  </si>
  <si>
    <t>ParkerVision</t>
  </si>
  <si>
    <t>1.0 Overview</t>
  </si>
  <si>
    <t>SISVEL Wireless</t>
  </si>
  <si>
    <t>Section 1.0</t>
  </si>
  <si>
    <t>Section 2.0</t>
  </si>
  <si>
    <t>Section 3.0</t>
  </si>
  <si>
    <t>Section 4.0</t>
  </si>
  <si>
    <t>Section 7.0</t>
  </si>
  <si>
    <t>Closing</t>
  </si>
  <si>
    <t>Section 5.0</t>
  </si>
  <si>
    <t>The entities within this section have declared patent licensing pools in technology areas relevant to mobile devices, such as mobile, wireless LAN, digital audio, or digital video standards.
We list each pool with its pool administrator.  For example, Via Licensing, a unit of Dolby Labs, administers the Via AAC pool on behalf of an array of patent owners possessing AAC SEPs.
The fact that each pool provides license to patents possessed by multiple or many patent owners distinguishes a patent pool from a patent licensing program in which an entity licenses only patents which it itself owns.</t>
  </si>
  <si>
    <t>The authors offers our thanks to the great many academics and industry participants, including licensing executives, experts, attorneys and advisors  who contributed perspectives and assisted us in building our knowledge and in assembling this data set.
We also thank the readers, and hope that where possible you will communicate your perspectives so that we may improve the accuracy, comprehensiveness, and quality of this document and data set.
We endeavor to provide this data set, as well as future improvements to it, to the interested community in order to assist it in understanding this industry, formulating new quesitons, and where possible embarking upon new research.</t>
  </si>
  <si>
    <t>The companies within this section have declared or reported patent licensing programs in technology areas relevant to mobile devices, such as mobile, wireless LAN, digital audio, or digital video standards, and/ or non SEPs. 
Some of these firms may be tantamount to mobile licensing leaders, but for our inability to confirm this in public documentation.  In some cases, this may be a simple matter of choice for licensors who prefer not to publish details regarding the size or composition of their patent licensing programs.
Others in this set of companies simply have public stated or demonstrated relevant licensing programs for which we cannot ascertain the degree of success, or even the existence of any concluded licensing agreements.  However we also cannot prove through public documentation the lack of any such licensing agreements or the absence of any success in developing and operating these programs.</t>
  </si>
  <si>
    <t>2.3.1</t>
  </si>
  <si>
    <t>Alcatel-Lucent (Nokia)</t>
  </si>
  <si>
    <t>MPEGLA AVC H.264</t>
  </si>
  <si>
    <t>SIPROLAB WCDMA</t>
  </si>
  <si>
    <t>2003 Annual Report, Consolidated Statement of Operations, p51 of 77 in PDF, p50 in document</t>
  </si>
  <si>
    <t xml:space="preserve">2012 10-K, Consolidated Statement of Operations, p58 of 259 in PDF, exhibit F3. </t>
  </si>
  <si>
    <t>2006 Annual Report, Consolidated Statement of Operations, p70 of 98 in PDF, p56 in document</t>
  </si>
  <si>
    <t>For all essential patents: US $ 0.17 per device</t>
  </si>
  <si>
    <t>The current patent portfolio encompasses about 160 patent families in the field of mobile communications — more than 1000 patents registered in Europe, the US and Asia, most of which have been granted. Among these are 35 patent families that are standard-essential for the key mobile communications standards of 2G (GMS), 2.5G (GPRS), 3G (UMTS) and subsequent generations (3.9G)."</t>
  </si>
  <si>
    <t>As IPCom is privately held, with Fortress Investment Group being a major investor</t>
  </si>
  <si>
    <t>it is difficult to ascertain the magnitude of its business.</t>
  </si>
  <si>
    <t>IPCom did achieve what was purportedly a very significant settlement with Deutsche Telekom in 2013, with sources stating that it included "low-to-medium triple-digit million euro" royalties</t>
  </si>
  <si>
    <t>Blackberry also reportedly obtained a patent license.</t>
  </si>
  <si>
    <t>IPCom reportedly also obtained a set of Hitachi mobile patents, stating that "The Hitachi patents consist of 135 patents in 17 patent families, and cover important aspects of the UMTS standards. The technology is also present in the 3G standards CDMA 2000 and HSUPA."</t>
  </si>
  <si>
    <t>Optis acts as a privateer for a large portfolio of Ericsson, LG Electronics, and Panasonic mobile SEPs and non SEPs.</t>
  </si>
  <si>
    <t>Zoominfo states that it has only 1 to 5 million per year in revenue and depicts an exact figure of $2,400,000.</t>
  </si>
  <si>
    <t>Conclusions</t>
  </si>
  <si>
    <t>Licensing Activity</t>
  </si>
  <si>
    <t>A.A. and Jeanne Welch Milligan Professor in the School of Humanities and Sciences, Professor of Political Science, Professor of History Professor (by courtesy) of Economics at Stanford University, and Peter and Helen Bing Senior Fellow at the Hoover Institution</t>
  </si>
  <si>
    <t>IPCom manages significant mobile patent portfolios originated by Bosch and Hitachi.  These portfolios include purported mobile SEPs.</t>
  </si>
  <si>
    <t>IPCom has established royalty paying license agreements with Deutsche Telekom and Blackberry.</t>
  </si>
  <si>
    <t>As a private firm, IPCom provides little transparency into the magnitude of the patent licensing royalties it has earned or is earning, though it appears clear that it has earned some royalties, albeit reports suggest that it is unlikely to constitute a significant portion of total mobile industry patent licensing royalties.</t>
  </si>
  <si>
    <t>"IPCom was founded in 2007 ... Our core business is the global licensing of patents from our own portfolio to producers in industry.</t>
  </si>
  <si>
    <t>IPCom has made multi-billion dollar infringement claims against Apple, Nokia, HTC and others as well.</t>
  </si>
  <si>
    <t>It appears that IPCom is or has been earning royalties as a result of its DT and Blackberry deals, and perhaps others that may be confidential.  We do not believe that the magnitude of this single agreement is such that it would significantly affect the magnitude of total industry royalties.</t>
  </si>
  <si>
    <t>Pan Optis Patent Management and Optis Wireless Technology are associated firms privateering a large portfolio of mobile patents from Ericsson, LG and Panasonic and recently expanded its portfolio through the acquisition of Unwired Planet and its large portfolio of Ericsson patents, as well as the legacy Unwired Planet mobile non SEPs.</t>
  </si>
  <si>
    <t>Pan Optis Patent Management has been in business since 2009, while Optis was formed in 2013.</t>
  </si>
  <si>
    <t>ZoomInfo reports that Pan Optis/Optis had revenues of $2,400,000 since 2009, and we assume that all of this relates to smartphones.</t>
  </si>
  <si>
    <t>As a private firm, PanOptis/ Optis provides little transparency into the magnitude of the patent licensing royalties it may be earning, though it appears clear that it has earned some royalties, albeit its nascent licensing programs appear unlikely to constitute a significant portion of total mobile industry patent licensing royalties.</t>
  </si>
  <si>
    <t>We hope to learn more about the magnitude of PanOptis/ Optis' business in the future so as to enable a proper accounting of their contribution to industry patent licensing royalties.</t>
  </si>
  <si>
    <t>PanOptis/ Optis licenses Ericsson patents.  It  recently purchased Unwired Planet and assumed its role of privateering for a large portfolio of Ericsson mobile SEPs and non SEPs.</t>
  </si>
  <si>
    <t>We know that it has litigated against ZTE in 2016 (closed), Kyocera in 2016, and Blackberry in 2016.</t>
  </si>
  <si>
    <t>Vectis WiFi</t>
  </si>
  <si>
    <t>The firms in this section are private patent licensing entities having either a focus in mobile licensing, or at least a portion of their activities in the mobile licensing space.
Some firms may play a role in the mobile industry directly, while others may do so  indirectly through licensing of major suppliers upstream in the mobile value chain.
Numerous other private PAEs exist despite not appearing in these pages.  We sought to include those with the greatest apparent focus and relevance to the mobile industry.
In general, the firms in this category are highly opaque, making it extremely difficult to quantify the magnitude of their businesses.  We hope to learn more about the magnitude of role that each plays for the mobile industry in the future.</t>
  </si>
  <si>
    <t xml:space="preserve">IP Bridge is a Japanese PAE formed in 2013 by its principal investor Innovation Network Corporate of Japan (INCJ).  INCJ is a partnership between Japanese government entities such as METI and the Japanese tech industry.  One may view INCJ as a sort of sovereign wealth fund, and IP Bridge consequently as a sort of sovereign patent fund. </t>
  </si>
  <si>
    <t>In this role, IP Bridge has aggregated a substantial portfolio of patents from firms such as NEC, Panasonic, Funai Electric, Seiko Epson and others.</t>
  </si>
  <si>
    <t>It is not apparent as to whether IP Bridge earns royalty income at present, and if so whether it does so through conventional arm's length license agreements as opposed to transactions related to it and its investor INCJ's public-private partnership and mission.</t>
  </si>
  <si>
    <t>We hope to learn more about the magnitude of IP Bridge's business in the future so as to enable a proper accounting of their contribution to industry patent licensing royalties.</t>
  </si>
  <si>
    <t>In 2016 IP Bridge has launced patent litigation campaigns against firms such as Broadcom, Omnivision, and TCL.</t>
  </si>
  <si>
    <t>As IP Bridge was only formed in 2013, and continues to aggregate new patent portfolios, its current licensing activity is likely a lagging indicator of what it may do in the future as it digests its new acquisitions and adds to them, and as it evolves its business model.</t>
  </si>
  <si>
    <t>"Founded in 2013, we at IP Bridge are engaging in new ways of managing intellectual property. We firmly believe that open innovation is the way of the future, where IP is easily available to anybody that has the drive and imagination to commercialize it, and in turn the creators of IP are rewarded fairly."</t>
  </si>
  <si>
    <t>"While IP Bridge will manage a large fund supported by several large corporations, chiefly the Innovation Network Corporation Japan, Inc., it is our principle goal to bring value and wealth to the lives of peoples around the world through open innovation. We all believe this will promote transparency in the IP market, reduce unreasonable legal disputes, and allow people and businesses to compete fairly in the open market."</t>
  </si>
  <si>
    <t>Since 2013, IP Bridge has assembled a portfolio including patents from Panasonic, NEC, Fujitsu Mobile Communications, Sanyo Electric, Visteon, Funai Electric, and Hitachi.</t>
  </si>
  <si>
    <t>IP Bridge has launced patent litigation campaigns against firms such as Broadcom, Omnivision, and TCL, but we find no records of concluded license agreements, settlements, or revenue.</t>
  </si>
  <si>
    <t>We have yet to uncover materials providing a more transparent view of IP Bridge's business.  While it appears that it is not privately held in the strictest sense, it is also not transparent in the fashion of a typical publicly traded company and provides little transparency into the magnitude of any patent licensing royalties it may be earning through its nascent IP licensing activities.</t>
  </si>
  <si>
    <t>SISVEL is a well known, long time patent pool administrator.  In 2011 SISVEL acquired a portfolio of Nokia mobile patents which it is now commercializing separately, referred to as the SISVEL Wireless portfolio.</t>
  </si>
  <si>
    <t>SISVEL offers licenses to the portfolio on a non-exclusive basis.  SISVEL does not disclose the existence of any license agreements, settlements, or royalty streams related to this portfolio.</t>
  </si>
  <si>
    <t>Products disposing on cellular connectivity make use of the Sisvel Wireless Patents. Examples of products making use of the Sisvel Wireless Patents are: mobile phones, smartphones, mobile hotspots, tablets with cellular connectivity, e-book readers with cellular connectivity, laptops with cellular connectivity and M2M devices with cellular connectivity.</t>
  </si>
  <si>
    <t>"Sisvel, at the end of 2011, acquired a portfolio of 47 patent families originally filed by Nokia. The portfolio consists of more than 500 patents and patent applications.</t>
  </si>
  <si>
    <t>The Sisvel Wireless Licensing Program covers technologies used in a wide range of mobile communications devices and services and includes the 33 of the 47 patent families acquired. These families consist of more than 450 patents and applications, that have been declared essential to second, third and fourth-generation communications standards, including GSM, WCDMA and LTE: these standard essential patents are referred to as Sisvel Wireless Patents.</t>
  </si>
  <si>
    <t>All companies selling products making use of cellular connectivity technology require a license under the Sisvel Wireless Patents. Sisvel is offering licenses under the Sisvel Wireless Patents on fair, reasonable, and non-discriminatory (FRAND) conditions.</t>
  </si>
  <si>
    <t>As a private firm, SISVEL provides little transparency into the magnitude of the patent licensing royalties it may be earning, though it appears clear that it has earned some royalties, albeit its nascent licensing programs appear unlikely to constitute a significant portion of total mobile industry patent licensing royalties.</t>
  </si>
  <si>
    <t>It is unclear as to whether SISVEL is earning any royalties through this program, though any agreements may simply be confidential.  We do not believe that the magnitude of this single agreement is such that it would significantly affect the magnitude of total industry royalties.</t>
  </si>
  <si>
    <t>We hope to learn more about the magnitude of SISVEL's Wireless portfolio business in the future so as to enable a proper accounting of their contribution to industry patent licensing royalties.</t>
  </si>
  <si>
    <t>The royalty shall be based on the number of units of licensed products manufactured, used, imported, offered for sale, sold, or otherwise disposed of by the Licensee in jurisdictions in which one of the Sisvel Wireless SEPs is issued and in force, and the royalty amount for each calendar year shall be calculated as follows:</t>
  </si>
  <si>
    <t>“Compliant Rates”: the reduced running royalty schedule below provides for a discount of 20% for future sales. Hence, provided that the licensee is in full compliance with its obligations under the Agreement then the royalty rate payable in respect of each licensed product shall be calculated as follows:</t>
  </si>
  <si>
    <t>License Terms (quoted from the SISVEL Wireless website)</t>
  </si>
  <si>
    <t>With these rates in hand, one could speculate as to the royalty revenues by estimating royalties for either selected or all firms in the industry.  However as we have no evidence that any firm has engaged in such arrangement, alternatively one could estimate that the total is zero.</t>
  </si>
  <si>
    <t>We hope to learn more about the magnitude of Vectis' business in the future so as to enable a proper accounting of their contribution to industry patent licensing royalties.</t>
  </si>
  <si>
    <t>"The royalty rate per end user 802.11 capable product for the Wi-Fi patents licensed by Vectis is as follows:</t>
  </si>
  <si>
    <t>For all implementation patents: US $ 0.075 per device"</t>
  </si>
  <si>
    <t>"Vectis offers a worldwide, non-exclusive, royalty bearing license to third parties under the Wi-Fi essential patents on fair, reasonable, and nondiscriminatory (FRAND) terms."</t>
  </si>
  <si>
    <t>Vectis is founded and lead by Giustino de Sanctis, formerly CEO of SISVEL.</t>
  </si>
  <si>
    <t>Wi-Fi patents licensable by Vectis as of August 1, 2015:</t>
  </si>
  <si>
    <t>Vectis administers a WiFi patent pool consisting of a portfolio of Ericsson, Panasonic, and Wi-Fi One, LLC (a PanOptis entity) Wifi SEPs and non SEPs.</t>
  </si>
  <si>
    <t>As a private firm, Vectis provides little transparency into the magnitude of the patent licensing royalties it may be earning, though it appears clear that it has earned some royalties, albeit its nascent licensing programs appear unlikely to constitute a significant portion of total mobile industry patent licensing royalties.</t>
  </si>
  <si>
    <t>We presume that ZTE and Google are licensees for their mobile devices given their enrollment as licensors, as this is often compulsory for participation.</t>
  </si>
  <si>
    <t>Via Licensing does not provide information confirming other specific licensees, nor even the existence of any other specific licensees.  This differs from Via's treatment of its AAC pool, for which it lists many licensees.</t>
  </si>
  <si>
    <t>Major LTE licensors such as Qualcomm, Ericsson, Nokia and Interdigital remain absent as is customary for each with regard to mobile patent pools.</t>
  </si>
  <si>
    <t>Via's LTE pool enlisted licensors including ATT Intellectual Property, China Mobile, Clear Wireless, Deutsche Telekom AG, DTVG Licensing, Google, Hewlett Packard, KDDI, Newracom, NTT Docomo, SK Telecom, Telecom Italia , Telefonica SPA, and ZTE.   Via launched the pool in 2012.  Via lists no licensees at this time, so it is unclear as to whether Via generates royalties through this program, and if so the magnitude of such royalties.</t>
  </si>
  <si>
    <t>Via is a unit of publicly traded Dolby, but such matters appear immaterial and hence Dolby financial reporting does not provide insight into the productivity of this pool.</t>
  </si>
  <si>
    <t>Via details their royalty rates, which decline to $2.10/ unit at the highest tier.  This is a significant price/ unit for a pool lacking the scale of the leading portfolios, which likely disincents many licensees from enrolling.  This might change in the event that Via enlists additional licensors to the pool.</t>
  </si>
  <si>
    <t>Via, and parent Dolby, do not provide transparency into the productivity of this pool, and the combination of this fact as well as the rate and scale of the portfolio suggest that productivity may not be material in the context of the industry at this time.</t>
  </si>
  <si>
    <t>SISVEL is privately held and does not provide insight into the productivity of this pool.</t>
  </si>
  <si>
    <t>SISVEL's LTE pool enlisted licensors including Airbus, Bräu Verwaltungsgeselschaft mbH, CATT, ETRI, KPN, Orange, and TDF as well as a portfolio of Nokia patents acquired by SISVEL.  SISVEL launched the pool in 2012.  SISVEL lists no licensees at this time, so it is unclear as to whether SISVEL generates royalties through this program, and if so the magnitude of such royalties.</t>
  </si>
  <si>
    <t>SISVEL's listed licensors include no material mobile OEMs, so we cannot presume the existence of any licensees.</t>
  </si>
  <si>
    <t>SISVEL does not provide information confirming other specific licensees, nor even the existence of any other specific licensees.  This differs from SISVEL's treatment of its former mp3 pool, for which it lists many licensees.</t>
  </si>
  <si>
    <t>SISVEL does not provide transparency into the productivity of this pool, and the combination of this fact as well as the lack of mobile OEMs among the licensors and scale of the portfolio suggest that productivity may not be material in the context of the industry at this time.</t>
  </si>
  <si>
    <t>SISVEL details their royalty rates, which decline to as little as €0.25/ unit at the most advantageous public rate.</t>
  </si>
  <si>
    <t>SISVEL details their royalty rates, which decline to as little as €0.24/ unit at the most advantageous public rate.</t>
  </si>
  <si>
    <t>Major LTE licensors such as Qualcomm/ Atheros, Ericsson, Nokia, Broadcom and Interdigital remain absent as is customary for each with regard to mobile patent pools.</t>
  </si>
  <si>
    <t>** Sisvel’s rights to grant sublicenses under the patents of Nokia Corporation within the Wi-Fi program are subject to certain restrictions and relate to the Printer Licensed Field only. Companies interested in a license under this program for the Printers field of use should contact Sisvel for further</t>
  </si>
  <si>
    <t>SISVEL has developed this pool with IP owners ETRI, Fraunhofer, Orange, KPN, as well as a portfolio acquired originating from Sanyo Electric, and a Nokia portfolio applicable only to the printer field.  SISVEL added several of these in 2015.</t>
  </si>
  <si>
    <t>If the pool is productive in the printer field by virtue of the Nokia patents provided there, this would be irrelevant to our interest in the impact on the mobile industry.</t>
  </si>
  <si>
    <t>Researched</t>
  </si>
  <si>
    <t>Approximated</t>
  </si>
  <si>
    <t>PanOptis-Optis</t>
  </si>
  <si>
    <t>AT&amp;T’s program licenses hardware and software capable of encoding and decoding content in compliance with the MPEG-4 Part 2 and MPEG-4 Part 10/H.264 standards. This typically involves mobile handsets, Smartphones, personal media players, game consoles, camcorders, digital still cameras, set-top boxes, broadcast equipment, video teleconferencing equipment and personal computer software. Prices effective January 1, 2012.</t>
  </si>
  <si>
    <t>AT&amp;T is administering a global, standards-based licensing program based on its portfolio of U.S. and foreign patents with claims essential to the practice of the ISO standards MPEG-4 Part 2 and MPEG-4 Part 10 (ISO/IEC 14496-2 and 11496-10) and the ITU-T standard H.264.</t>
  </si>
  <si>
    <t>We make this assumption because a firm would only need to produce 6.25m units per year to hit the cap for MPEG4 part 2, and 15.625 units per year to hit the cap for MPEG4 H.264.  It is possible that some firms may in fact have fallen short of the cap, but per our charter we are willing to accept the possibility of a relatively small overestimate</t>
  </si>
  <si>
    <t>$3,200,000 per year after the Effective Date of the license agreement (across Commercial Networking and Consumer Electronics combined).</t>
  </si>
  <si>
    <t>AT&amp;T is administering a global, standards-based licensing program based on its portfolio of U.S. and foreign patents with claims essential to the practice of 802.11n and 802.11ac as defined by the IEEE Standards Association.</t>
  </si>
  <si>
    <t>AT&amp;T’s program licenses products practicing 802.11n and/or 802.11ac standards. Two categories of products are licensed under the separate schedules below spanning:</t>
  </si>
  <si>
    <t>Consumer Electronics - Device types outside of Commercial Networking such as smartphones, tablets, PCs, laptops, gateways, SOHO/consumer routers, and set-top boxes.</t>
  </si>
  <si>
    <t>Consumer Electronics: $0.12 per unit</t>
  </si>
  <si>
    <t>Commercial Networking: $0.27 per unit</t>
  </si>
  <si>
    <t>A Licensee’s total royalty payments for Commercial Networking and Consumer Electronics products sold prior to or after the Effective Date shall not exceed $30,000,000.</t>
  </si>
  <si>
    <t xml:space="preserve">This assumption is consistent with  another crucial fact: as of July 13, 2016, when this website was accessed there were only 3 licensees, and of these only 2 were moble phone OEMs, and of those 2 phone OEMs, only 1 (ZTE) was a top ten producer.  Even that OEM only accounted for 4 percent of all smartphone sales worldwide in 2015. </t>
  </si>
  <si>
    <t>Patent Sales Revenue</t>
  </si>
  <si>
    <t>Annual Report 2006, p35 (82 of 139 in pdf)</t>
  </si>
  <si>
    <t>Annual Report 2007, p61 (86 of 148 in PDF)</t>
  </si>
  <si>
    <t>Annual Report 2008, p58, (78 of 166 in PDF)</t>
  </si>
  <si>
    <t>Annual Report 2008, p56 (page 76 of 166 in PDF)</t>
  </si>
  <si>
    <t>Annual Report, 2011, p62. (Consolidated Statement of Income did not give breakdown of revenues by source), page 72 of 196 of PDF</t>
  </si>
  <si>
    <t>Annual Report 2012, Consolidated Statements of Income, p66 (pge 76 of 188 in PDF)</t>
  </si>
  <si>
    <t>Annual Report 2013, Consolidated Statements of Income, p73, (83 of 232 in PDF)</t>
  </si>
  <si>
    <t>Annual Report 2015, Consolidated Statements of Income, p75 (page 85 of 212 of PDF)</t>
  </si>
  <si>
    <t xml:space="preserve">Annual Report 2015, Consolidated Statements of Income, p75 (page 85 of 212 of PDF), </t>
  </si>
  <si>
    <t>Licensing Revenues ($USD)</t>
  </si>
  <si>
    <t>Exchange Rate (Year End)</t>
  </si>
  <si>
    <t>Licensing Revenue (€m)</t>
  </si>
  <si>
    <t>Alcatel-Lucent 20F, 2010, p192</t>
  </si>
  <si>
    <t>Alcatel Lucent 20F 2011, p210</t>
  </si>
  <si>
    <t>Alactel Lucent 20F, 2012, p218</t>
  </si>
  <si>
    <t>Alcatel-Lucent 20F, 2014, p53</t>
  </si>
  <si>
    <t>Alacatel_Lucent, 20F, 2015, p56</t>
  </si>
  <si>
    <t>Alcatel Lucent 20F, 2013, p63; Alcatel Lucent 20F 2012, p218 -&gt; 78m.  We take the higher number in ordre to bias upwards</t>
  </si>
  <si>
    <t>Alcatel Lucent 20F, 2009, p181</t>
  </si>
  <si>
    <t>Nokia Technologies ($m)</t>
  </si>
  <si>
    <t>Nokia Technologies BU revenue ($m)</t>
  </si>
  <si>
    <t>Ericsson IPR Licenses ($US)</t>
  </si>
  <si>
    <t>Reported Ericsson IPR Licensing (SEK, NET)</t>
  </si>
  <si>
    <t>Patent Licensing Revenue ($US)</t>
  </si>
  <si>
    <t>Patent Revenue Subtotal ($US)</t>
  </si>
  <si>
    <t>Technology Solutions Revenue ($US)</t>
  </si>
  <si>
    <t>Revenue ($US)</t>
  </si>
  <si>
    <t>2005 10K, Consolidated Statement of Operations, p74 of 112 in PDF, pF4</t>
  </si>
  <si>
    <t xml:space="preserve">2098 10k , Consolidated Statement of operations, p121 of  224 in PDF, pF3 in document. </t>
  </si>
  <si>
    <t>2011 10-K, Consolidated Statement of Operations, p59 of 110 in PDF, pF3</t>
  </si>
  <si>
    <t xml:space="preserve">2015 10-K, Consolidated Statement of Operations, p104 of PDF, Exhibit pf-3, </t>
  </si>
  <si>
    <t>Philips has long had a large, active patent licensing program.</t>
  </si>
  <si>
    <t>Philips has long been a leader in SEP licensing, including through an array of patent pools.</t>
  </si>
  <si>
    <t xml:space="preserve">Philips licenses its AAC SEPs via the Via AAC pool, whose revenues we capture in the tab for that pool. </t>
  </si>
  <si>
    <t>Relevant Revenues ($US)</t>
  </si>
  <si>
    <t>Smartphone patent Licensing (€)</t>
  </si>
  <si>
    <t>Innovation, Group &amp; Services Unit (€)</t>
  </si>
  <si>
    <t xml:space="preserve">The unit's 574 €m in revenues by this unit (2015), included an estimated 95% related to patent licensing. </t>
  </si>
  <si>
    <t>Revenues ($US)</t>
  </si>
  <si>
    <t>VirnetX holds a patent portfolio relevant to mobile standards but has little demonstrated royalty revenue.  VirnetX states that it has entered into patent license agreements with the following additional firms: Avaya Inc., Aastra USA, Inc., Mitel Networks Corporation, NEC Corporation and NEC Corporation of America, Siemens Enterprise Communications GmbH &amp; Co. KG, and Siemens Enterprise Communications Inc.  VirnetX states that these licenses included "a one-time payment and an ongoing royalty for all future sales through the expiration of the licensed patents with respect to certain current and future IP-encrypted products."</t>
  </si>
  <si>
    <t>VirnetX established a $23m royalty bearing license subsequent to achieving a large district court damages award with Microsoft years ago.  "Microsoft received a worldwide, irrevocable, nonexclusive, non-sublicensable, royalty-free, fully paid-up license to all ... patents".</t>
  </si>
  <si>
    <t>VirnetX states the following:</t>
  </si>
  <si>
    <t>"We develop software and technology solutions for securing real-time communications over the Internet. Our patented GABRIEL Connection Technology™ combines industry standard encryption protocols with our patented techniques for automated domain name system, or DNS, lookup mechanisms, and enables users to create a secure communication link using secure domain names over wired or wireless (4G/LTE) networks."</t>
  </si>
  <si>
    <t>"Our portfolio of intellectual property is the foundation of our business model. We currently own over 100 U.S. and international patents with over 75 pending applications. Our patent portfolio is primarily focused on securing real-time communications over the Internet, as well as related services such as the establishment and maintenance of a secure domain name registry. Our patented methods also have additional applications in the key areas of device operating systems and network security for Cloud services, M2M communications in areas of Smart City, Connected Car and Connected Home."</t>
  </si>
  <si>
    <t>VirnetX's public financial reporting suggests that its business represents a small but quantifiable minority of patent licensing activity in the mobile industry.  While VirnetX's licensees are not exclusively mobile industry participants, and in fact little or perhaps even none of its royalties may accrue from licensing of mobile devices, based upon our charter we assume all of its royalties to relate to mobile.  This will ensure that our estimates are overly inclusive.</t>
  </si>
  <si>
    <t>SEC 10K 2015,p 25</t>
  </si>
  <si>
    <t>Net Revenues ($US)</t>
  </si>
  <si>
    <t>In 2016, Unwired Planet sold its patent licensing business to PanOptis.  Unwired Planet no longer operates any patent licensing business.</t>
  </si>
  <si>
    <t>Page 5: "Unwired Planet conducts an intellectual property licensing business drawing upon our worldwide portfolio of approximately 2,500 patent assets.  In 2013, Unwired Planet entered an agreement with Ericsson in which it acquired a portfolio of over 2,000 patents that includes standard essential patents (“SEPs”) for 2G, 3G and LTE systems.</t>
  </si>
  <si>
    <t>Unwired Planet was a PAE that enforced the mobile device patent portfolio that had belonged to Openwave, a software company that at one time was an important developer of mobile browsers and also a large portfolio of Ericsson mobile SEPs. Unwired Planet was created in October 2012, when Openwave sold off its product businesses and focused solely on patent licensing.   Unwired Planet's arrangement with Ericsson involved a revenue sharing component.  Our Ericsson tabluations, found elsewhere in this workbook, should contain any proceeds transferred to Ericsson as a result of Unwired Planet's operations.</t>
  </si>
  <si>
    <t>Licensing Revenues ($US)</t>
  </si>
  <si>
    <t>Summary and Conculsions</t>
  </si>
  <si>
    <t>Summary and Conclusions</t>
  </si>
  <si>
    <t>Medical Tech Revenues ($)</t>
  </si>
  <si>
    <t>Revenues ($)</t>
  </si>
  <si>
    <t>Non Medical Revenues ($)</t>
  </si>
  <si>
    <t>Product and Servicing Revenue ($)</t>
  </si>
  <si>
    <t>Total Revenues ($)</t>
  </si>
  <si>
    <t>Digital Optics Fotonation Licensing 2012 10K, p 36 ($)</t>
  </si>
  <si>
    <t>Digital Optics/Fotonation Products ($)</t>
  </si>
  <si>
    <t>Digital Optics Fotonation Licensing as % of Total Revenues ($)</t>
  </si>
  <si>
    <t>Estimated Semiconductor Licensing ($)</t>
  </si>
  <si>
    <t>Estimated Digital Optics Fotonation Licensing as Percent of Total ($)</t>
  </si>
  <si>
    <t>Estimated Digital Optics FotoNation Licensing ($)</t>
  </si>
  <si>
    <t>Huawei is a leading vendor of communications equipment for carriers and enterprises, as well as smartphones and other consumer electronics.  Through Huawei's involvement in these fields it has worked closely with standards in the 4G stack and beyond.  Huawei's declarations indicate that it believes itself to be one fo the largest owners of mobile Standards Essential Patents (SEPs).</t>
  </si>
  <si>
    <t>Huawei is a private company, but does publish financial reports providing some perspective on its operations.  However it has not historically discussed its licensing business.  However we can see from Huawei's market activities such as its lawsuits against Samsung and ZTE that it has begun to develop this business.  Discussions in the industry indicate that Huawei has engaged with other companies against which it has not filed patent litigation.</t>
  </si>
  <si>
    <t>Unconfirmed journalist reports state that Huawei has formed a patent license with Apple.  If so, this could further suggest that Huawei is building a patent licensing business.</t>
  </si>
  <si>
    <t>Huawei's fact sheet states that:  "In the area of LTE, Huawei holds over 15% of all essential patents and is an industry leader in this area."  Other major SEP owners with similar quantities of SEPs such as Qualcomm, Ericsson, Nokia and Interdigital have built large licensing businesses and therefore we speculate that Huawei may be attempting to do so, and may successfully do so in the future.</t>
  </si>
  <si>
    <t>A May 10 2016 artice in IAM stated that:</t>
  </si>
  <si>
    <t>"... Huawei’s head of IP monetisation Haitsing Li shared figures which showed that Chinese companies collectively made around $500 million from licensing out their patents back in 2012.  Twelve months later, this had ballooned to $1.36 billion, with Li estimating that the data would show $2 billion in licensing revenue by the end of 2014. As one of China’s very few holders of super-size patent portfolios containing seminal assets  and with global coverage, then it is probably fair to speculate that a significant portion of that "</t>
  </si>
  <si>
    <t xml:space="preserve">The unit's patent licensing revenues (2015), included an estimated 30% related to smartphones </t>
  </si>
  <si>
    <t>Expert interviews</t>
  </si>
  <si>
    <t>FY (9/30)</t>
  </si>
  <si>
    <t>2013 10K, Results of Operations, p40 of 164 in PDF, FYE sept 30; also Consolidated Statement of Operations, p56 of 164 in PDF, Exhibit F3</t>
  </si>
  <si>
    <t>2014 10-K, Results of Operations, p41 of 105 in PDF, FYE Sept 30; Also Consolidated Statement of Operations, p58 of 105 in PDF, Exhibit F3</t>
  </si>
  <si>
    <t>2004 Annual Report, Consolidated Statement of Operations, p58 of 86 in PDF, p54 in document</t>
  </si>
  <si>
    <t>2002 Annual Report, Consolidated Statement of Operations, p59 of 90</t>
  </si>
  <si>
    <t>2010 10-K, Consolidated Statement of Operations, p64 of 102 in PDF, pF3, FYE 9/30</t>
  </si>
  <si>
    <t>Smartphone Related Royalties ($US)</t>
  </si>
  <si>
    <t>2015 10-K, Consolidated Statement of Operations, p104 of PDF, Exhibit pf-3, Presentation, Analyst Day, Feb 11, 2016, p59</t>
  </si>
  <si>
    <t>Need to find out when MSFT launched Android licensing program, signed material licensees</t>
  </si>
  <si>
    <t>Windows Phone launch year- Q4 2008 (de minims sales)</t>
  </si>
  <si>
    <t xml:space="preserve">     - Steve Ballmer</t>
  </si>
  <si>
    <t>The Wall Street Journal, Oct 4, 2010</t>
  </si>
  <si>
    <r>
      <t xml:space="preserve">“Android has a </t>
    </r>
    <r>
      <rPr>
        <sz val="12"/>
        <color rgb="FF000000"/>
        <rFont val="Arial"/>
        <family val="2"/>
      </rPr>
      <t>patent fee. It's not like Android's free. You do have to license patents. HTC's signed a license with us and you're going to see license fees clearly for Android as well as for Windows.”</t>
    </r>
  </si>
  <si>
    <t>FY 2015 end June 30 2015</t>
  </si>
  <si>
    <t>Windows Phone launched CY Q4 2008, or mid FY2009</t>
  </si>
  <si>
    <t>On February 11, 2011, at a press event in London, Microsoft CEO Steve Ballmer and Nokia CEO Stephen Elop announced a partnership between their companies in which Windows Phone would become the primary smartphone operating-system for Nokia</t>
  </si>
  <si>
    <t>We calculated 2011 revenues from licensing of windows phone and other phone patents based on page 32 of FY 2013 10K, where it is stated that: "EDD revenue increased primarily reflecting Skype and Windows Phone revenue, offset in part by lower Xbox 360 platform revenue. Xbox 360 platform revenue decreased $107 million, "  EDD is Entertainment and Devices division.   We know that total EDD revenues were 8.915 billion in 2011 and 9.599 billion in 2012. That means that EDD revenues increased by  $684 m from 2011 to 2012.  If X box fell by 107m from 2011 to 2012, then skype and windows phone must have increased jointly by $791 million.  We also know (from page 31) that "EDD offerings include the Xbox entertainment platform (which includes the Xbox 360 gaming and entertainment console, Kinect for Xbox 360, Xbox 360 video games, Xbox LIVE, and Xbox 360 accessories), Skype, and Windows Phone, including related patent licensing revenue. We acquired Skype on October 13, 2011."   It is not possible to back out revenues from skype, nor does the report provide any indication of revenues from phone os in 2010.  We do know what Windows Phone was not introduced until October 2010.  We also know that whatever the value of Windows Phone revenues were in 2011, they were lower than in 2012 (because the report states that revenues increased, page 32).  We also know that 2,759,000 phones were sold in the 4th quarter of 2011 with Windows Phone OS. Data from" http://www.gartner.com/newsroom/id/1924314, accessed June 23, 2016.  This translates into roughly 11m phones across the year. That is roughly 44 percent of the number sold in 2012.  We therefore take 44 percent of the figure of 512,500,000 for 2012. 
Steve Ballmer announced that "Android has a patent fee.  It's not like Android's free.  You do have to license patents.  HTC's signed a license with us and your going to see license fees clearly for Android as well as for Windows.", The WSJ, Oct 4, 2010.  Assuming the HTC license was signed shortly before this (e.g. July-Sep), royalties from the first licensee, HTC, would have begun in FY2011.</t>
  </si>
  <si>
    <t>List</t>
  </si>
  <si>
    <t>Gartner-Devices Sold to End Users</t>
  </si>
  <si>
    <t>Year 
(Ends Dec 31)</t>
  </si>
  <si>
    <t xml:space="preserve">Feature 
Phones </t>
  </si>
  <si>
    <t>Smartphone 
Price</t>
  </si>
  <si>
    <t>IDC vs web source #1 %</t>
  </si>
  <si>
    <t>Source 2</t>
  </si>
  <si>
    <t>Source 1</t>
  </si>
  <si>
    <t>GFK Data</t>
  </si>
  <si>
    <t>IDC Smartphone Data</t>
  </si>
  <si>
    <t>IDC- Devices Shipped</t>
  </si>
  <si>
    <t>% 
Smartphones</t>
  </si>
  <si>
    <t>Smartphone 
Revenues</t>
  </si>
  <si>
    <t xml:space="preserve"> IDC/ 
websource %</t>
  </si>
  <si>
    <t>% Smartphones Unlicensed</t>
  </si>
  <si>
    <r>
      <t>Year</t>
    </r>
    <r>
      <rPr>
        <u/>
        <vertAlign val="superscript"/>
        <sz val="12"/>
        <color theme="1"/>
        <rFont val="Calibri"/>
        <family val="2"/>
        <scheme val="minor"/>
      </rPr>
      <t>1</t>
    </r>
  </si>
  <si>
    <t>Siprolab WCDMA</t>
  </si>
  <si>
    <t>IDC Total  Gartner Total</t>
  </si>
  <si>
    <t xml:space="preserve">How much of this can be attributed to mobile phones is not known, but some clearly is based upon announced licenses with several major mobile OEMs. </t>
  </si>
  <si>
    <t>http://www.marketwatch.com/story/myhrvolds-patent-firm-sees-revenue-swell-2011-03-04?reflink=MW_news_stmp</t>
  </si>
  <si>
    <t>(Mar 4, 2011) "The Wall Street Journal’s ECO:nomics Conference in Santa Barbara, Calif., Myhrvold — a former Microsoft Corp. executive — mentioned that Intellectual Ventures saw $700 million in licensing revenue last year.
An Intellectual Ventures spokeswoman confirmed the figure, and added that the firm’s total licensing revenue to date amounts to roughly $2 billion. Bellevue, Wash.-based Intellectual Ventures was founded by Myhrvold in 2000."</t>
  </si>
  <si>
    <t>"To date, we have ... cumulative licensing revenues exceeding $3 billion."  IV is known to pursue licensing programs across a broad array of markets and geographies.</t>
  </si>
  <si>
    <t>"Intellectual Ventures (IV) is a privately-held invention capital company with one of the world’s largest and fastest growing invention portfolios…"</t>
  </si>
  <si>
    <t>Licencess as of 2012 include:</t>
  </si>
  <si>
    <t>As a privately held company, IV discloses relatively little information though it has stated the magnitude of its total royalties earned, and provided an implication as to the annual royalties earned.  We can make a gross assumption as to the proportion earned from mobile devices.</t>
  </si>
  <si>
    <t>9. Leica Camera</t>
  </si>
  <si>
    <t>Q4</t>
  </si>
  <si>
    <t>Q3</t>
  </si>
  <si>
    <t>Q2</t>
  </si>
  <si>
    <t>Q1</t>
  </si>
  <si>
    <r>
      <t>LSI Corporation</t>
    </r>
    <r>
      <rPr>
        <sz val="12"/>
        <color theme="1"/>
        <rFont val="Calibri"/>
        <family val="2"/>
        <scheme val="minor"/>
      </rPr>
      <t xml:space="preserve"> was a designer of semiconductors and software that accelerate storage and networking in data centers, mobile networks and client computing.</t>
    </r>
  </si>
  <si>
    <t>Page 21, Avago's form 10K for 2014</t>
  </si>
  <si>
    <t>p54 of the 2014 Avago 10k gives IP sales and licensing royalty revenue only</t>
  </si>
  <si>
    <t>p48 of the 2014 Avago 10k provides an upper bound of IP licensing revenues.</t>
  </si>
  <si>
    <t>"In fiscal year 2013, we generated approximately $19 million compared to $31 million in fiscal year 2012 of IP sales and licensing royalty revenue."</t>
  </si>
  <si>
    <t>"Net revenue for fiscal year 2014 included $160 million of revenue from development arrangements and sales and licensing of IP compared to $87 million for fiscal year 2013."</t>
  </si>
  <si>
    <t>"As part of our acquisition of LSI, we generate revenue from licensing royalty payments and from technology claim settlements relating to certain IP we acquired from LSI."</t>
  </si>
  <si>
    <t>LSI acquired Agere and its significant patent licensing program.  LSI was in turn acquried by Avago, which in turn merged with Broadcom.</t>
  </si>
  <si>
    <t>It is reasonable to assume that a similarly sized licensing business remains today.</t>
  </si>
  <si>
    <t>LSI reported that it generated IP sales and licensing royalty revenue of ~$19 million (FY2013) and $31 million (FY2012)</t>
  </si>
  <si>
    <t>Broadcom represents the merger of Broadcom, Avago, LSI, Agere, and more.  As such it contains the former patent licensing business of Agere as well as many additional patents developed by its other constituent members or otherwise acquired.</t>
  </si>
  <si>
    <t>m</t>
  </si>
  <si>
    <t>Net Revenue Industrial and Other (inc. licensing):</t>
  </si>
  <si>
    <t>FY2015</t>
  </si>
  <si>
    <t>The $19m was 21% of the total of $87m in "IP Licensing and Development Arrangements"</t>
  </si>
  <si>
    <t>IP Licensing and Development Arrangements in 2014 were $160m</t>
  </si>
  <si>
    <t>FY2014</t>
  </si>
  <si>
    <t>FY2013</t>
  </si>
  <si>
    <t>FY2012</t>
  </si>
  <si>
    <t>An upper bound of its IP income in 2014 would therefore be that the entire increase in IP and Development revenues from 2013 to 2014 were from IP licensing, and that Development Arrangements revenues were flat from 2013 to 2014.  Thus, an upper bound for IP Revenues in 2014 would be $160m-87m (total for 2013)+19m (IP licenisng 2013):</t>
  </si>
  <si>
    <t xml:space="preserve">Total net revenue for Industrial and Other (which includes patent licensing): </t>
  </si>
  <si>
    <t>(Form 10k, FY2014, p. 50, p54)</t>
  </si>
  <si>
    <t>% Patent Lic.</t>
  </si>
  <si>
    <t>$ Patent Lic. ($m)</t>
  </si>
  <si>
    <t xml:space="preserve">We therefore apply the 16.4 percent coefficient to 2015 Indl and other revenues.  The results are as follows: </t>
  </si>
  <si>
    <t>Broadcom likely has a small patent licensing business resulting from its many consolidations.  It is highly likely that it lies within our very conservative upper bound estimate.</t>
  </si>
  <si>
    <t>2015 Volumes</t>
  </si>
  <si>
    <t>0-2.5m</t>
  </si>
  <si>
    <t>2.5-6.25m</t>
  </si>
  <si>
    <t>6.25-12.5m</t>
  </si>
  <si>
    <t>12.5-25m</t>
  </si>
  <si>
    <t>25-50m</t>
  </si>
  <si>
    <t>&gt;50m</t>
  </si>
  <si>
    <t>We divide each annual figure into equal quarters by producer.</t>
  </si>
  <si>
    <t>Royalty/ Unit</t>
  </si>
  <si>
    <t>"All manufacturers that execute a Joint License Agreement (JLA) for W-CDMA Terminals within a timeframe of 6 months from initial contact with Sipro will benefit from the following incentives:</t>
  </si>
  <si>
    <t>Volume discounts indicated in Table 1 will apply to Royalty rates indicated in Table 2 for Licensed Products Sold prior to the execution of a JLA;</t>
  </si>
  <si>
    <t>Total Estimate</t>
  </si>
  <si>
    <t>2015 Estimated by Quarter</t>
  </si>
  <si>
    <t xml:space="preserve">The royalty table from SIPRO sets different rates for each year of the agreement as of 2012. </t>
  </si>
  <si>
    <t>Knowing neither the existence of, nor the identities of any licensees, we assume that all smartphone producers pay the license fee, based on data on 2015 unit sales from IC Insights:</t>
  </si>
  <si>
    <t>We concede that this estimate is extremely conservative owing to our assumption that the pool has signed licensees as described.  The pool provides no information confirming the existence of any licensees not also enrolled as licensors, so the true figure may be vastly lower.</t>
  </si>
  <si>
    <t>2015 Quarterly Royalties Estimated by Tier</t>
  </si>
  <si>
    <t>Sipro Labs is well known pool for WCDMA SEPs.  The Patent Pool "licenses terminal products including handsets and other handheld terminals, removable data cards and embedded data card for portable computers, notebooks and other similar devices."</t>
  </si>
  <si>
    <t>Typically licensors must also be licensees, provided that they produce the products subject to licenses.  The licensor list includes several firms known for producing mobile devices in the past, though no major market participants (based upon volume).  SIPROLabs makes no representations as to the existence of other licensees, particularly large licensees.</t>
  </si>
  <si>
    <t>A TCL brand</t>
  </si>
  <si>
    <t>10-20m</t>
  </si>
  <si>
    <t>&lt;500K</t>
  </si>
  <si>
    <t>500k-1m</t>
  </si>
  <si>
    <t>1-2m</t>
  </si>
  <si>
    <t>2-5m</t>
  </si>
  <si>
    <t>Royalty Rate by Tier ($/ unit)</t>
  </si>
  <si>
    <t>5-10m</t>
  </si>
  <si>
    <t>20-50m</t>
  </si>
  <si>
    <t>50-75m</t>
  </si>
  <si>
    <t>&gt; 75m</t>
  </si>
  <si>
    <t>Estimated Royalties by Tier ($US)</t>
  </si>
  <si>
    <t>1st 500k</t>
  </si>
  <si>
    <t>2nd 500k</t>
  </si>
  <si>
    <t>Actual Smartphone Shipments 2015</t>
  </si>
  <si>
    <t>Licensing Fees by Tier</t>
  </si>
  <si>
    <t>Penetration of Top 10</t>
  </si>
  <si>
    <t>Total Est. Mobile Licensing</t>
  </si>
  <si>
    <t>Digital Optics/ FotoNation ($)</t>
  </si>
  <si>
    <t>Total 
Revenue ($)</t>
  </si>
  <si>
    <t>Licensing 
Revenue ($)</t>
  </si>
  <si>
    <t xml:space="preserve">This introduction explains the sources and methods used by Alexander Galetovic,  Stephen Haber, and Lew Zaretzki to estimate the cumulative royalty yield on mobile phones. </t>
  </si>
  <si>
    <t xml:space="preserve">We thank Jordan Horrillo for his excellent research assistance, as well as helpful comments and suggestions from Jonathan Barnett, Anne Layne-Farrar, Keith Mallionson, Jorge Padilla, and others who wished to remain anonymous but provided important perspective. </t>
  </si>
  <si>
    <t>Phone: (650) 723 11348</t>
  </si>
  <si>
    <t>As % Smartphones</t>
  </si>
  <si>
    <t>As % of Smartphones</t>
  </si>
  <si>
    <t>OEM Operating Profits</t>
  </si>
  <si>
    <t>Other Costs</t>
  </si>
  <si>
    <t>Discussions with market participants suggest that there may be at least one other material licensee, but it is unlikely that the pool has licensed a signiicant proportion of target products in the market.  As a first order approximation, it probably licenses to 10% of the market.</t>
  </si>
  <si>
    <t xml:space="preserve">In order to approximate the revenues of SIPROlabs WCDMA pool we therefor proceed in two steps.  First, we use SIPROlabs published licensing schedule plus data on output by OEMs to estimate the pool's revenues if !00% of OEMs licensed this pool. Second, we discount that estimate by 90% on the assumption that SIPROlabs is actually licensing 10% of the market. </t>
  </si>
  <si>
    <t>Total Estimated Royalties if 100 percent coverage</t>
  </si>
  <si>
    <t>Esstimated Royalty Received Assuming that the pool has coverage of ony 10 %</t>
  </si>
  <si>
    <t>FY</t>
  </si>
  <si>
    <t>We include Patent Sales as well as Patent Licensing in order to create upper bound estimates. The logic is that the firm can either earn income from licensing (renting) its patents or from selling them. Selling a patent necessarily reduces patent licensing income n the future.  Hence, we treat sales as if licenses</t>
  </si>
  <si>
    <t>We have liberally assumed that Huawei's licensing revenues since 2013 equal that of Interdigital.  This assumption is likely to underetimate Huawei'g licensing revenues  in future years. We assume that prior to 2013 its patent licensing revenues were de minimis.</t>
  </si>
  <si>
    <t>Sisvel LTE</t>
  </si>
  <si>
    <t>A search found no record of patent litigation or transactions involving Vectis.  We also note that Vectis was only created in 2015.</t>
  </si>
  <si>
    <t xml:space="preserve">It is unclear as to whether Vectis is earning royalties, although perhaps any agreements may be confidential.  We do not believe that the magnitude of Vectis business is such that it would significantly affect the magnitude of total industry royalties.  Given that it was only formed in mid-2015, and lists no licensees, its revenues for 2015 are not material. </t>
  </si>
  <si>
    <t>Vectis WiFI</t>
  </si>
  <si>
    <t>ParkerVision attempted to build a business as a mobile semiconductor company but failed in the marketplace and sought instead to develop a patent licensing business.  Thus far its public financial records indicate no track record of success in generating patent royalties though its efforts continue.</t>
  </si>
  <si>
    <t>Sec 10K 2011,p. 20</t>
  </si>
  <si>
    <t>Sisvel Wireless</t>
  </si>
  <si>
    <t>It does, however, disclose the existence of licensing agreements on other portfolios.</t>
  </si>
  <si>
    <t>We hope to learn more about the magnitude of IPCom's business in the future so as to enable a more proper accounting of their contribution to industry patent licensing royalties.</t>
  </si>
  <si>
    <r>
      <t xml:space="preserve">In 2009, the </t>
    </r>
    <r>
      <rPr>
        <i/>
        <sz val="11"/>
        <color theme="1"/>
        <rFont val="Georgia"/>
        <family val="1"/>
      </rPr>
      <t>Seattle Times</t>
    </r>
    <r>
      <rPr>
        <sz val="11"/>
        <color theme="1"/>
        <rFont val="Georgia"/>
        <family val="1"/>
      </rPr>
      <t xml:space="preserve"> reported that the company had earned roughly $1 billion in licensing revenue since its inception, roughly $100 million per year through 2009. (Brier Dudley, “Bellevue lab is an inventor’s real dream,” Seattle Times (May 27 2009). Available at http://old.seattletimes.com/html/businesstechnology/2009266390_intvent70.html, accessed July 27 2016.</t>
    </r>
  </si>
  <si>
    <t>In 2010, Nathan Myhrvold, responding to investor unrest, reported that the company earned $700 million in licensing revenue that year.  Joff Wild, “IV revenues hit $2 billion as recent deals show firm's links with other major market players,” IAM blog (March 5, 2011). Available at http://www.iam-media.com/blog/detail.aspx?g=03A44DF3-787B-405E-9D5E-69136E93A5B3, accessed August 20, 2016. See also Jon Letzing, “Myhrvold’s patent firm sees revenue swell,” Mar-ketWatch (March 4, 2011). Available at http://www.marketwatch.com/story/myhrvolds-patent-firm-sees-revenue-swell-2011-03-04, accessed August 20, 2016.</t>
  </si>
  <si>
    <t>As of 2010 IV reported that it had earned roughtly $2 billion in total licensing revenue.  As of mid 2016, IV reported that it had earned rougly $3 billion in total licensing revenue. Therefore, from 2011-2015 IV earned ~$1 billion, or $200m/ year.</t>
  </si>
  <si>
    <t>We therefore estimate IV's mobile phone licensing to OEMs as follows.  If take the $700 million figure for 2010 as reliable.  If it had earned roughly $2 billion by 2010, that means that it either earned 1.3 billion from 2000 to 2009.   That means that from 2000 to 2009 it earned $130m per year.  This would be on the high side, because the Seattle Times reported the figure through 2009 a $1 billion or 100 million per year</t>
  </si>
  <si>
    <t xml:space="preserve">IV's public statements indicate that through the end of 2015, its cumulative licensing revenues are $3 billion.  That means that it made $1 biliion from 2011 through 2015, or $200 million per year. </t>
  </si>
  <si>
    <t>IV has a broad portfolio that spans many technologies.  A liberal estimate would be that it earns 1/3 of its revenues in the mobile telephone value chain.</t>
  </si>
  <si>
    <t>We therefore estimate IV's revenues as 33 percent of $130 million from 2000 through 2009, 33% of $700 million in 2010, and 33 percent of 200 million from 2011 through 2012.</t>
  </si>
  <si>
    <t>1.4.1</t>
  </si>
  <si>
    <t>Revenues by Licensor</t>
  </si>
  <si>
    <t>Economic Summary 2015</t>
  </si>
  <si>
    <t>Fig- Economic Summary 2015</t>
  </si>
  <si>
    <t>Total
Royalties</t>
  </si>
  <si>
    <t>Value Smartphones Shipped</t>
  </si>
  <si>
    <t>Estimated Mobile Phone Based Patent Licensing Revenue ($m)</t>
  </si>
  <si>
    <t>4.0 Patent Pools</t>
  </si>
  <si>
    <t>3.10</t>
  </si>
  <si>
    <t>3.11</t>
  </si>
  <si>
    <t>3.12</t>
  </si>
  <si>
    <t>2.0 Mobile Patent Licensing Royalty Leaders</t>
  </si>
  <si>
    <t>2.0 Patent Licensing Royalty Leaders</t>
  </si>
  <si>
    <t>3.0 Other Public Corporations</t>
  </si>
  <si>
    <t>Other Private Corporations</t>
  </si>
  <si>
    <t>Other Public Corporations</t>
  </si>
  <si>
    <t>The firms appearing within this section are the largest confirmed mobile patent licensors, each with revenues &gt; $400m over several consecutive years.  Each of these firms has based its licensing program principally upon mobile standards essential patents (mobile SEPs), though each also possesses non SEPs as well within its large patent portfolio.  
Qualcomm, Ericsson, and Nokia each served as leaders in mobile technology products within each generation of mobile technology, producing large proportions of the world's mobile infrastructure, devices, and/ or semiconductors.
We include a separate breakdown for Alcatel-Lucent, formerly an independent company with a far smaller, but still relevant licensing business.  We include this because Nokia acquired Alcatel Lucent and now manages and operates its assets and programs.
Microsoft's heritage lies in its leadership in operating systems and applications, as opposed to mobile standards, and it has enjoyed great success in constructing its Android mobile licensing program on the strength of this R&amp;D and its associated massive patent portfolio.
Interdigital began its life as a mobile semiconductor company, but transformed into a mobile patent licensor when it exited the mobile semiconductor market.</t>
  </si>
  <si>
    <t>5.0 Other Private Corporations</t>
  </si>
  <si>
    <t>6.0 Other Identified Entities for Future Consideration</t>
  </si>
  <si>
    <t>7.0 Closing</t>
  </si>
  <si>
    <t>Public Corp</t>
  </si>
  <si>
    <t>Private Corp</t>
  </si>
  <si>
    <t>Pool</t>
  </si>
  <si>
    <t>Data Type</t>
  </si>
  <si>
    <t>Entity Type</t>
  </si>
  <si>
    <t>1.5.1</t>
  </si>
  <si>
    <t>Sensitivity</t>
  </si>
  <si>
    <t>Device Sales</t>
  </si>
  <si>
    <t>OEM Sales</t>
  </si>
  <si>
    <t>Royalty Yield Summary 2015</t>
  </si>
  <si>
    <t>Fig: Royalty Yield Series</t>
  </si>
  <si>
    <t>Royalty Yield Series</t>
  </si>
  <si>
    <t>Nokia Technologies Revenues</t>
  </si>
  <si>
    <t>Start</t>
  </si>
  <si>
    <t>Data</t>
  </si>
  <si>
    <t>Entity</t>
  </si>
  <si>
    <t>Foot</t>
  </si>
  <si>
    <t>Subtotal by Data Type</t>
  </si>
  <si>
    <t>Estimates of Patent Licensing Royalties on Mobile Phones ($US)</t>
  </si>
  <si>
    <t>Mobile Phone Revenues</t>
  </si>
  <si>
    <t>Derivation</t>
  </si>
  <si>
    <t>Tessera is among the largest public companies focused in patent licensing, having generated &gt; $2b in royalties over 10 years.  As such, Tessera provides a relatively transparent view of the magnitude of its business, but because it is not focused explicitly upon licensing the mobile phone market it does not report on this basis.  Tessera is well known for licensing programs based upon semic packaging and interconnect technologies and many licensed products likely are designed into mobile devices.  We assume that a material portion of Tessera royalties relate to mobile devices.</t>
  </si>
  <si>
    <t>"As of December 31, 2015, Tessera owned approximately 4,036 patents and patent applications, comprised of approximately 2,255 United States patents and patent applications and approximately 1,781 foreign patents and patent applications.   Tessera's  technologies have been licensed to more than 100 companies. These customers include Intel Corporation, LG Electronics, Micron Technology, Inc., Samsung Electronics Co. Ltd, Shenzhen O-Film Tech Co., LTD, SK hynix Inc. and Sony Corporation, among others."  Tessera statses that its technologies are found in "100% of today's smartphones".</t>
  </si>
  <si>
    <t>"From its beginnings in 1990, Tessera has focused on developing innovative technologies and assisting its customers in implementing high-volume manufacturing of reliable, miniaturized, high-performance and cost-effective semiconductor packages. Tessera’s “compliant chip” chip-scale package technology revolutionized the packaging world, helping make the high-performance, miniaturized electronic devices of today possible. The value of this approach has allowed it to become one of the most widely proliferated packaging technologies in history, finding use with nearly 100% of today’s DRAM chips, and with a wide range of semiconductor devices that are ubiquitous in smartphones, tablets, wearables and other electronics."</t>
  </si>
  <si>
    <t>10K, 2015, p 27</t>
  </si>
  <si>
    <t>10K, 2009, p 40</t>
  </si>
  <si>
    <t>Given that Tessera earns material royalties from technologies which ultimately go into mobile phones among other products, we must estimate the proportion of royalties from the mobile phone value chain.</t>
  </si>
  <si>
    <t>• licensing our semiconductor packaging, circuitry, and interconnect technologies from Invensas and our Tessera, Inc. subsidiary to semiconductor companies and OSATs.
• licensing our FotoNation image processing products to OEMs and platform providers."</t>
  </si>
  <si>
    <t xml:space="preserve">We therefore proceed in two steps.  The first is to estimate how much of Tessera's revenues are from its Fotonation or Digital Optics and allocate 100% of those revenues to smartphones.  The second is to estimate how much of Tessera's revenues are from semiconductor packaging, and then estimate how much of those revenues are from smartphones, as opposed to other applications.  </t>
  </si>
  <si>
    <t>We therefore take the upper bound of these three observations (31%) and assume that 31 percent of Tessera's Semiconductor licensing revenues are mobile.  The total of Tessera Mobile Licensing is then the sum of Mobile Semic Licensing and Digital Optics/FotoNation Licensing.</t>
  </si>
  <si>
    <t>We allocate 100 percent of Digital Optics FotoNation Revenues to Smartphone Licensing, which we therefore estimate as follows:</t>
  </si>
  <si>
    <t>For 2014 we can do this directly, because Tesseras' 2015 10K page  states that "The increase in recurring revenue results from a $39.2 million increase from new license agreements primarily with Samsung Electronics Co. Ltd. and Micron Technology, Inc. and a $12.3 million or 113% increase in revenue from our FotoNation subsidiary resulting from new license agreements to our software products as well as growth in unit shipments under software license agreements."</t>
  </si>
  <si>
    <t>Tessera's 2011 10K page 36 reports Digital Optics separately for 2010, $15,593,000.</t>
  </si>
  <si>
    <t xml:space="preserve">All of the Product and Service Revenues reported above are from Digital Optics.  Thus, we can back out the licensing revenues from Digital Optics, which are Digital Optics minus products and services. </t>
  </si>
  <si>
    <t>The implication is that fotonation licensing in 2013 was $10,884,956 and in 2014 was $23,184,956.</t>
  </si>
  <si>
    <t>The data ($US b) is as follows:</t>
  </si>
  <si>
    <t>% Irrelevant</t>
  </si>
  <si>
    <t>% Potentially Relevant</t>
  </si>
  <si>
    <t>% Comm.</t>
  </si>
  <si>
    <t>Of Tessera's estimated $273 m in 2015 royalties, we estimate that ~38% or ~$100m in 2015 relate to mobile devices.</t>
  </si>
  <si>
    <t xml:space="preserve">We therefore retrieved data on the percent of the semiconductor market that is Mobile, as opposed to other applications.  A PWC Report on "The Internet of Things: The next growth engine for the semiconductor industry" provides estimates of semiconductor sales by application. </t>
  </si>
  <si>
    <t>% Revenues from Licensing</t>
  </si>
  <si>
    <t>% Patent Licensing Royalties</t>
  </si>
  <si>
    <t>Patent Licensing Royalties</t>
  </si>
  <si>
    <t>Rambus 10k, 2011, p37; 10K, 2009, p32</t>
  </si>
  <si>
    <t>Rambus 10k, 2011, p37; 10k, 2011, p43</t>
  </si>
  <si>
    <t>Rambus 10K, 2012, p51; 10K, 2012, p51</t>
  </si>
  <si>
    <t>Rambus, 10K 2015, p30; 10k 2014</t>
  </si>
  <si>
    <t>Rambus, 10K 2015, p30; 10k 2015</t>
  </si>
  <si>
    <t>Rambus, 10K 2015, p 0; 10k 2015</t>
  </si>
  <si>
    <t>We can now estimate Rambus' patent licensing revenues on mobile phones on the assumption that the distribution of its revenues between mobile and other reflects that of the DRAM industry.</t>
  </si>
  <si>
    <t xml:space="preserve">Rambus is primarily in the DRAM business, and DRAM is used in a wide variety of applications.  We therefore retrieved data on the percent of the DRAM market that is Mobile DRAM, as opposed to other applications.  The data is as follows. </t>
  </si>
  <si>
    <t>Statista study and statistics (sourced from DRAMExchange)</t>
  </si>
  <si>
    <t>Statista statistics (sourced from DRAMExchange)</t>
  </si>
  <si>
    <t>Rambus is among the largest public companies focused in patent licensing, having generated &gt; $2b in royalties over 10 years.  As such, Rambus provides a relatively transparent view of the magnitude of its business, but because it is not focused explicitly upon licensing the mobile phone market it does not report on this basis.  Rambus is well known for its licensing programs based upon its proprietary RD-RAM technology and many licensed products likely are designed into mobile devices.  We assume that a material portion of Rambus royalties relate to the mobile device value chain.</t>
  </si>
  <si>
    <t>Of Rambus's estimated $262 m in 2015 royalties, we estimate that ~32% or ~$96m in 2015 relate to mobile devices.</t>
  </si>
  <si>
    <t>"Rambus creates cutting-edge semiconductor and IP products, spanning memory and interfaces to security, smart sensors and lighting. Our chips, customizable IP cores, architecture licenses, tools, services, software, training and innovations improve the competitive advantage of our customers. We collaborate with the industry, partnering with leading ASIC and SoC designers, foundries, IP developers, EDA companies and validation labs.  Our products are integrated into tens of billions of devices and systems."- Rambus, 2015 10K, p5</t>
  </si>
  <si>
    <t>"In 2015, we continued our transition from a pure IP licensing model to one that delivers increasing value to the market through physical products. While celebrating our 25th anniversary, we launched our first branded product, the R+ DDR4 server memory chip for RDIMMs and LRDIMMs and revealed our Smart Data Acceleration research program to improve data center performance. At the same time, we continued to execute on our traditional patent licensing business…"- Rambus 2015 10k, p26</t>
  </si>
  <si>
    <t>Rambus licensees include AMD, Broadcom, Cisco, Freescale, Fujitsu, GE, IBM, Intel, LSI, Micron, Nanya, Panasonic, Qualcomm, Renesas, Samsung, Hynix, STMicro, and Toshiba.</t>
  </si>
  <si>
    <t>WiLAN states that it "... generates revenue by licensing its patents to companies that sell products utilizing technologies including: "Wi-Fi, WiMAX, LTE, CDMA, DSL, DOCSIS, Bluetooth, V-Chip, 3D television" and many other markets.  WiLAN states that it has "... over 320 global companies licensed, including Alcatel-Lucent, AmTRAN, Broadcom, Cisco, Dell, Funai, HP, HTC, Intel, LG, MediaTek, Motorola Mobility, Panasonic, Sierra Wireless and Samsung"</t>
  </si>
  <si>
    <t>WiLAN began with a focus in wireless technology, and developed a technology called W-OFDM for which it intended to sell chipsets.  WiLAN states that the IEEE ultimately incorporated this technology into the 802.11a standard, which later became extremely popular.  Unfortunatley WiLAN did not succeed in commercializing its technology, and consequently it instead turned to licensing.</t>
  </si>
  <si>
    <t>Today WiLAN continues to license in the Wireless field including in across "... 3G/4G, Wi-Fi and Bluetooth, as well as other technologies generally applicable to handheld devices or to infrastructures necessary to operate wireless networks."</t>
  </si>
  <si>
    <t>WiLAN is among the larger public companies focused in patent licensing, having generated &gt; $650m in royalties over 10 years.  As such, WiLAN provides a relatively transparent view of the magnitude of its business, but because it is not focused explicitly upon licensing the mobile phone market it does not report on this basis.  WiLAN is well known for licensing programs based upon x and many licensed products likely are designed into mobile devices.  We assume that a material portion of WiLAN royalties relate to mobile devices.</t>
  </si>
  <si>
    <t>Royalty Revenues 
(excl. brokerage)</t>
  </si>
  <si>
    <t>Given WiLAN's historical focus in Wireless, and in the interest of biasing up, we assume all WiLAN royalties relate to the mobile phone value chain.</t>
  </si>
  <si>
    <t>Acacia is among the larger public companies focused in patent licensing, having generated &gt; $xb in royalties over 10 years.  As such, Acacia provides a relatively transparent view of the magnitude of its business, but because it is not focused explicitly upon licensing the mobile phone market it does not report on this basis.  Acacia is well known for a large and diverse array licensing programs (&gt; 185 portfolios), including some focused on mobile devices such as its ACCESS, Adaptix, and CCE licensing programs among others.  We assume that a material portion of Acacia's royalties relate to mobile devices.</t>
  </si>
  <si>
    <t>We assume that all non-medical licensing revenues are from licensing programs targeting smartphone OEMs.  We calculate those as follows:</t>
  </si>
  <si>
    <t>Acacia Access Portfolio Acquired 2010, generated 150m 2011-15; Licensees include Samsung, Microsoft Apple</t>
  </si>
  <si>
    <t>In fiscal year 2012, $41.2 million, or 16.5%, of revenues were generated from our patent portfolios in the medical technology industry sector, as compared to $8.6 million, or 4.7%, in fiscal year 2011.  See Acacia 10K 2013, pages 25 nd 26</t>
  </si>
  <si>
    <t>In the interest of biasing too high, we make the conservative assumption that all of Acacia's royalty revenue generated outside of the medical tech area related to mobile phones.</t>
  </si>
  <si>
    <t>In fiscal year 2013, $9.9 million, or 7.6%, of revenues were generated from our patent portfolios in the medical technology industry sector</t>
  </si>
  <si>
    <t>"Acacia is the industry leader in outsourced patent licensing. By partnering with patent owners, Acacia applies its deep legal and technology expertise to patent assets to unlock financial value.  An intermediary in the patent market, Acacia facilitates efficiency and delivers monetary rewards to the patent owner. With this strategy, Acacia has generated over $1,300,000,000 revenue to date, and has returned approximately $705,000,000 to our patent partners... Acacia is expanding its highly scalable business by growing its number of licensing programs, and is pursuing new growth opportunities in the energy, medical, consumer electronics and automotive technology sectors. Acacia has recently announced patent partnerships with Renesas Corporation, VoiceAge Corporation, Silicon Image, Boston Scientific, Nokia Siemens Networks, Rambus Corp and Breed Automotive technologies."- Acacia Technologies Fact Sheet, Q2 2016</t>
  </si>
  <si>
    <t>Acacia highlights its many mobile phone related programs in its investor presentations, giving the impression that these are its most important focus.  In the interest of biasing too high, we make the conservative assumption that all of Acacia's royalty revenue generated outside of the medical tech area related to mobile phones.</t>
  </si>
  <si>
    <t>% of Revenue</t>
  </si>
  <si>
    <t>Major Licencing Arrangements of Marathon Subsidiaries 2015:</t>
  </si>
  <si>
    <t>Major Licencing Arrangements of Marathon Subsidiaries 2014:</t>
  </si>
  <si>
    <t>Amount</t>
  </si>
  <si>
    <t>Subsidiary</t>
  </si>
  <si>
    <t>Pharmaceuticals / tire pressure systems</t>
  </si>
  <si>
    <t>"Marathon is an IP licensing and commercialization company. The Company acquires and manages IP rights from a variety of sources, including large and small corporations, universities and other IP owners. Marathon has a global focus on IP acquisition and management. The Company's commercialization division is focused on the full commercialization lifecycle which includes discovering opportunities, performing due diligence, providing capital, managing development, protecting and developing IP, assisting in execution of the business plan, and realizing shareholder value."</t>
  </si>
  <si>
    <t>"Marathon Patent Group has a very diverse portfolio of patents.  We are “technology agnostic,” meaning we have no biases in favor of any particular field of invention."  The Marathon website highlights 10 technology areas within which Marathon operates 28 subsidiaries, none of which overtly appear focused on mobile phones or smartphones specifically.</t>
  </si>
  <si>
    <t>A single patent in the telecommunications field.</t>
  </si>
  <si>
    <t>The company states that 37% of its portfolio relates to wireless, and 6% to mobile handsets.</t>
  </si>
  <si>
    <t>The company states that it holds 19 portfolios with a total of 327 patents.</t>
  </si>
  <si>
    <t>Licenses</t>
  </si>
  <si>
    <t>Revenues</t>
  </si>
  <si>
    <t>Potential Percent of Revenues from Mobile Phones:</t>
  </si>
  <si>
    <t>Marathon is a well known public patent licensor.  As such, the magnitude of its business is clear, but as it has a technologically diverse portfolio and set of licensing campaigns, and does not focus on licensing the mobile phone space we do not have clarity on the degree to which its business focuses in mobile phones.</t>
  </si>
  <si>
    <t>Marathon discusses a number of its licensing campaigns in detail, none of which appear mobile phone related.</t>
  </si>
  <si>
    <t>Based upon Marathon's disclosures regarding its activities, we believe it has historically focused its licensing outside the mobile phone space.  We assume that $0 of its royalty revenues accrue from licensing in the mobile phone space.</t>
  </si>
  <si>
    <t>Qualcomm QTL BU Revenues ($US)</t>
  </si>
  <si>
    <t>Non Phone Related Royalties ($US)</t>
  </si>
  <si>
    <t>Nokia is among the world's leading providers of carrier network equipment, particularly mobile broadband equipment.  Furthermore, Nokia's Technologies business unit is among the world's leading licensors and targets mobile OEMs with its massive portfolio of mobile SEPs.</t>
  </si>
  <si>
    <t>Ericsson is the world's leading provider of mobile infrastructure, and also a major patent licensor focused on licensing mobile device OEMs with its massive portfolio of mobile SEPs..</t>
  </si>
  <si>
    <t>Qualcomm, via its QTL business unit, is arguably the preeminent firm in patent licensing history, and focuses pincipally upon licensing mobile OEMs with its massive portfolio of mobile SEPs.</t>
  </si>
  <si>
    <t>Alcatel Lucent resulted from a merger of 2 of the world's largest providers of carrier and enterprise network equipment and their respective patent portfolios.  Alcatel-Lucent was acquired by Nokia and is being integrated with its Nokia Networks business.</t>
  </si>
  <si>
    <t xml:space="preserve">Interdigital is among the largest patent licensors, and focuses pincipally upon licensing mobile OEMs with its massive portfolio of mobile SEPs. </t>
  </si>
  <si>
    <t>Microsoft Patent Licensing Revenues from Windows Phone and Phone Patents</t>
  </si>
  <si>
    <t>Microsoft is a major technology conglomerate;  In conjunction with the development of its Windows Phone mobile platform it launched a major patent licensing program targeting mobile Android-based OEMs.  Microsoft's program reportedly licensed more than half of worldwide Android volumes.</t>
  </si>
  <si>
    <t>6.0 Other Identified Firms</t>
  </si>
  <si>
    <t>10. Mobile Media Ideas</t>
  </si>
  <si>
    <t>11. Rockstar (prior to acquisition by RPX)</t>
  </si>
  <si>
    <t>12. Round Rock</t>
  </si>
  <si>
    <t>13. Samsung Electronics</t>
  </si>
  <si>
    <t>15. Technicolor</t>
  </si>
  <si>
    <t>14. Siemens</t>
  </si>
  <si>
    <t>16. Texas Instruments</t>
  </si>
  <si>
    <t>17. VoiceAge</t>
  </si>
  <si>
    <t>18.  Vringo</t>
  </si>
  <si>
    <t>1.  Apple</t>
  </si>
  <si>
    <t>2.  Blackberry</t>
  </si>
  <si>
    <t>3.  Core Wireless-Conversant</t>
  </si>
  <si>
    <t>4.  Electronics and Telecommunictions Research Institute (Korea)</t>
  </si>
  <si>
    <t>5.  France Brevets</t>
  </si>
  <si>
    <t>6.  Google</t>
  </si>
  <si>
    <t>7.  Industrial Technology Research Institute (Taiwan)</t>
  </si>
  <si>
    <t>8.  Infineon</t>
  </si>
  <si>
    <t>9.  Longitude Licensing</t>
  </si>
  <si>
    <t>%</t>
  </si>
  <si>
    <t>Amount ($m US)</t>
  </si>
  <si>
    <t>Inferred</t>
  </si>
  <si>
    <t>Costs</t>
  </si>
  <si>
    <t>Profits</t>
  </si>
  <si>
    <t>Category</t>
  </si>
  <si>
    <t>Metric</t>
  </si>
  <si>
    <t>ASP (Fig 6, ARMH, Credit Suisse, Apr-2016)</t>
  </si>
  <si>
    <t>L. Santiago, IDC, Worldwide Mobile Phone Semiconductor 20015-2019 Forecast, Jun 2015</t>
  </si>
  <si>
    <t>BMO, Capital Markets, Tim Long, Q1 2016</t>
  </si>
  <si>
    <t>Assumption</t>
  </si>
  <si>
    <t>Estimated Mobile Phone Based Patent Licensing Revenue ($m, FY2015)</t>
  </si>
  <si>
    <t>% Mobile Phones Unlicensed</t>
  </si>
  <si>
    <t>Estimated Mobile Phones Revenues &amp; Costs (FY2015)</t>
  </si>
  <si>
    <t>As % of Feature and Smartphones</t>
  </si>
  <si>
    <t>Value Feature and Smartphones Shipped</t>
  </si>
  <si>
    <t>Sensitivity Analysis of 2015 Average Cumulative Royalty Yield (Smartphones)</t>
  </si>
  <si>
    <t>Sensitivity Analysis of 2015 Average Cumulative Royalty Yield (Mobile Phones)</t>
  </si>
  <si>
    <t>Effective Smartphone Royalties Charged by  "Other" licensors as a group ($m):</t>
  </si>
  <si>
    <t>Effective Mobile Phone Royalties Charged by  "Other" licensors as a group ($m):</t>
  </si>
  <si>
    <r>
      <t xml:space="preserve">There are firms that appear to earn some patent licensing royalties from the mobile phone value chain, but there is limited information in the public domain about the magnitudes.  Some large, public companies (some of which are mobile phone OEMs) earn some patent licensing revenues, but their licensing activities are not significant enough to be a reportable segment in their financial statements. Some of these firms, or EMSs that produce for them, are also major sources of licensing revenue for other firms covered in this study.  There are also small private companies that appear to earn some some patent licensing royalties from the mobile phone value chain, but the publicly available information about their revenues and operations is fragmentary. We provide a list of some firms below that are in these two groups.  The available evidence does not suggest  any one of these firms--public or private--individually has licensing revenues significant enough that its addition would have a material effect on the overall magnitude of the cumulative royalty yield.
In addition, there are numerous small patent monetization companies (sometimes referred to as NPES or PAEs) that we have not been able to identify, and it is common for firms like this to create sub-entities that manage individual portfolios, some of which might earn revenues from the mobile phone value chain.  It is likely that these small patent monetization companies, as a group, are at least as important as some of the individual public and private companies that we have been able to identify and list below. 
Some readers might wish to know about the effect that the inclusion of licensing revenues earned by these firms --large, public companies, small private companies, and small patent monetization companies--as a group, would have on the cumulative royalty yield.  We therefore, provide a sensitivity analysis, in Tab 1.6 </t>
    </r>
    <r>
      <rPr>
        <i/>
        <sz val="12"/>
        <color theme="1"/>
        <rFont val="Calibri"/>
        <family val="2"/>
        <scheme val="minor"/>
      </rPr>
      <t>Sensitivity Analysis</t>
    </r>
    <r>
      <rPr>
        <sz val="12"/>
        <color theme="1"/>
        <rFont val="Calibri"/>
        <family val="2"/>
        <scheme val="minor"/>
      </rPr>
      <t xml:space="preserve"> where we estimate the effect that these firms as a group might have under a range of plausible scenarios. As Tab 1.6 shows, even an upper bound estimate of their collective patent licensing revenues from the mobile phone value chain, does not have a material effect on the results.  On the assumption that they, as a group, earn $2 billion in mobile phone patent licensing revenues, their inclusion would only increase the cumulative royalty yield by 0.4 percent (under the assumption that there is no patent licensing evasion by OEMs and EMSs) or 0.7 percent (under the assumption that 35 percent of smart phones shipped evade licensing).  
</t>
    </r>
  </si>
  <si>
    <t>Note:  It is generally accepted that some OEMs evade paying licensing royalties.  The question is what is the upper bound of evasion?  Qualcomm, which accounts for roughy 57.5% of licensing revenues in our study in 2015, reports that it has 85% market coverage.  Interdigital, which is the smallest of the major technology development companies, reports that it has 40% market coverage. We are able to estimate the coverage of MPEGLA MPEG4, MPEGLA AVC/H.264, and Via AAC, on the basis of their list of licensees and data about the shipments of those licensees from data analytics firms, at 72%, 70%, and 30% respectively.  The results will be driven by how close the other licensors with more than $1 billion in revenue each in 2015 (Nokia, Ericsson, and Microsoft) are to Qualcomm's coverage rate.  A lower bound estimate of their coverage--and of the coverage of all firms in the sample except Qualcomm, is that it is the average of MPEGLA MPEG4, MPEGLA AVC/H.264, Via AAC, and Interdigital, which is 53%.  The average coverage ratio under these assumptions would therefore be:   ((.575*.85)+(.425*.53)=.714.  An upper bound estimate of  evasion is therefore 1 - 0.714= .286.  If, however, Nokia, Ericsson, and Microsoft have higher coverage ratios than 53 percent, closer to the average of MPEGLA pools, then the evasion ratio would be significantly lower. If we assume that these firms, which account for 27.7 percent of licensing revenues have a 71 percent coverage ratio, and that all firms other than these three plus Qualcomm average 53 percent, then the average coverage ratio would be (*.575*.85)+(.277*.71)+(.146*.53)) =.764  The evasion rate would therefore be .236.</t>
  </si>
  <si>
    <t>Note: This table is not dynamic</t>
  </si>
  <si>
    <t>September 2016 update</t>
  </si>
  <si>
    <t>A New Dataset on Mobile Phone Patent License Royalties,  September 2016 update</t>
  </si>
  <si>
    <t xml:space="preserve">Keith Mailinson, " Cumulative Mobile-SEP Royalty Payments No More than Around 5% of Mobile Handset Revenues," IP Finance, August 19, 2015. </t>
  </si>
  <si>
    <t>1. Introduction</t>
  </si>
  <si>
    <t xml:space="preserve">Mobile phones integrate a wide array of technologies, from computing to consumer electronics to communications, and from semiconductors to hardware, software and services.  This makes them a relevant target for a large and broad array of patents and licensors. In addition, mobile phones rely on technological standards to make them interoperable. A standard-compliant smartphone uses hundreds, if not thousands of standard essential patents (SEPs), which are owned by many different patent holders. </t>
  </si>
  <si>
    <t>While some have claimed that dispersed ownership of SEPs leads to high cumulative royalty rates, the estimates that underpin these claims are based on the simple addition of published handset royalty rates. There are a variety of reasons to be dubious of this method, not the least of which is that it conflates “rack rates” which might not be paid by anybody, with actual market transaction rates.  Indeed, just as firms have incentives to declare all possible patents as essential, they also have incentives to post high royalty rates to license their portfolio, even if they never actually earn any licensing revenue from that portfolio.</t>
  </si>
  <si>
    <t xml:space="preserve">Our purpose is to provide as comprehensive and transparent a data source as is practically possible for use by other researchers, industry practitioners, and government officials. We do not take a position on whether the estimates of the royalty yield we present in this study are “too high,” “too low,” or “just right.”   That is an important debate, but it can only be joined on the basis of evidence. </t>
  </si>
  <si>
    <t>2. Methods—“Follow the Money”</t>
  </si>
  <si>
    <t xml:space="preserve">This note describes the dataset in this workbook to estimate the Average Cumulative Patent Royalty Yield paid in the mobile phone value chain— the sum total of patent royalty payments earned by licensors, divided by the total value of mobile phones shipped.  We build upon earlier work by Mallinson and Sidak that focused on mobile SEPs, but go beyond that work by: (i) analyzing patent royalties in the entire mobile phone value chain (i.,e, royalties on mobile SEPs, but also audio and video codecs, imaging, operating systems, semiconductors, and other components); (ii) comparing our results on patent royalties to other costs of mobile phone manufacture and to OEM profits; (iii) generating time series that permit researchers to analyze the stability of the Average Cumulative Patent Royalty Yield back to 2007.  For some firms, our coverage goes back to 2000. </t>
  </si>
  <si>
    <t>All methods of analysis are dependent upon an underlying theory, and underlying theories are created in order to answer particular questions of interest.  Calculating the cumulative royalties paid (or earned) in the mobile phone value chain is not an exception to this general rule.  The basic question researchers are asking is how do royalties paid by firms in the mobile phone value chain affect production and decisions at the margin?  That is, if royalty rates were X percent higher, by how much would output fall and prices increase? If they were X’ lower, by how much would output rise and prices fall?  Microeconomic theory provides a guide to the relevant facts necessary to answer this question; it tells us that we need to approximate paid per-unit royalties.</t>
  </si>
  <si>
    <t xml:space="preserve">In an ideal world for researchers, mobile phone Original Equipment Manufacturers (OEMs), Electronics Manufacturer Services (EMSs), Original Design Manufacturers (ODMs) and component manufacturers in the mobile phone value chain would report the identities of the IP holders from whom they license and the value of the payments to each of those licensors.  It would then be possible to determine the “IP Bill of Materials (BoM)” paid by each firm in the in the mobile phone value chain.  From there, one could calculate a weighted average BoM for every firm in the value chain, with the weights determined by their relative contribution to total mobile phone sales. </t>
  </si>
  <si>
    <t>It is almost never the case that researchers can work with the ideal data, and the data on mobile phone patent licenses are not an exception to this rule. The fundamental problem is that licensees have very weak incentives to disclose their patent license royalty payments.</t>
  </si>
  <si>
    <t xml:space="preserve">As a matter of accounting, however, payments by licensees must show up as revenues for licensors, and licensors have strong incentives to disclose their patent licensing revenues.  For publicly-traded firms with licensing revenues that are a non-trivial component of their total revenues, those incentives are legal and regulatory; the sources of revenue must be disclosed to investors. Even licensors without legal and regulatory incentives to disclose their revenues, however, such as patent pools administered by firms that specialize in pool administration, have market-based incentives to disclose the identities of their licensees and their tiered royalty charges per unit, thereby allowing the royalty revenues of the pool to be approximated.   </t>
  </si>
  <si>
    <t>It is therefore possible to estimate the total cost of patent licenses in the mobile phone value chain by identifying the major licensors and retrieving the information necessary to estimate their licensing revenues. One can then divide the sum of these revenues across all licensors by the total value of mobile phones sold to obtain an average cumulative royalty yield. There are three numbers that one needs to know in order to estimate the Average Cumulative Royalty Yield: (i) the mobile phone patent licensing revenue earned by each licensor; (ii) the total number of mobile phones sold; (iii) the average selling (wholesale) price of a mobile phone (ASP).</t>
  </si>
  <si>
    <t>2A. Estimating the Size of the Market</t>
  </si>
  <si>
    <t xml:space="preserve">The number of phones sold and the ASP are easy to come by: a number of data analytics firms estimate these, and issue press releases that they then post to the web. Firms such as IC Insights, IDC, Gartner, and GFK produce these estimates. The estimates tend to be within a few percentage points of one another such that results would not be sensitive to which source is used (see Tab 1.8, Device Sales). These same firms also produce estimates of the quantity and value of tablets.  We do not include these in these calculations. If we would include tablets, it would increase the value of device sales, and thus drive down the Average Cumulative Royalty Yield. </t>
  </si>
  <si>
    <t xml:space="preserve">These same entities also estimate device sales and prices by major OEMs, and provide this data in press releases, which they post to the web. These estimates also tend to be within a few percentage points of one another (see Tab 1.9, OEM Sales). We use this data in order to estimate the revenues earned by patent pools, which tend to have tiered royalty schedules. </t>
  </si>
  <si>
    <t>2B. Estimating Patent Licensing Revenue</t>
  </si>
  <si>
    <r>
      <t>Estimating patent licensing revenue is straightforward in principle, though it can be complicated in practice. Firms that earn significant revenues from patent licensing report those figures in financial reports (e.g. SEC forms 10k and 20-f for example). Private firms are not obligated to disclose such information about their operations. In these cases we estimate revenues based on information that firms make publically available. For example, successful patent pools typically disclose the identities of their licensors and licensees, the patents covered by the pool, and the fee schedule for licensees. Developing an estimate given this information is practical, although it often tends to overestimate royalties. However, that is consistent with our chosen bias and so we expect it</t>
    </r>
    <r>
      <rPr>
        <sz val="11"/>
        <color theme="1"/>
        <rFont val="Times New Roman"/>
        <family val="1"/>
      </rPr>
      <t xml:space="preserve"> </t>
    </r>
    <r>
      <rPr>
        <sz val="12"/>
        <color theme="1"/>
        <rFont val="Calibri"/>
        <family val="2"/>
      </rPr>
      <t>(see Tab 1.7, Revenues by Licensor)</t>
    </r>
    <r>
      <rPr>
        <sz val="12"/>
        <color rgb="FF000000"/>
        <rFont val="Calibri"/>
        <family val="2"/>
      </rPr>
      <t xml:space="preserve">. </t>
    </r>
  </si>
  <si>
    <t xml:space="preserve">The core of our method, then, is to “follow the money.”  In following the money, we make no distinctions as to where a licensor is earning revenues in the mobile phone value chain, nor do we make distinctions among the different patented technologies in a mobile phone. We capture, for example, revenues earned from licenses taken by semiconductor and base band chip producers, as well as the OEMs and EMSs that assemble phones. We also capture revenues earned from licenses on patents that enable video, imaging, audio, and other functions, as well as the SEPs that enable mobility.  We capture, as well, the revenues of a major software company that earns revenue from its patents that read on the most popular mobile phone operating system. </t>
  </si>
  <si>
    <t>2C. Basic Principles of Data Collection</t>
  </si>
  <si>
    <t>In following the money we are guided by four principles. First, to the degree possible, the estimates should be produced using publicly-available sources so that our results can be replicated and improved upon by other researchers. Indeed, we invite users of the data in the Excel workbook that accompanies this document to share information with us so that we can improve our estimates.  Second, we endeavor to have as long a time series for each licensor as is practically possible.  Third, decisions about how to treat data should bias in favor of obtaining a larger royalty yield. This implies that we err on the side of: (i) including licensors that license to a variety of industries, not just mobile phones, which means that we may be counting their revenues from those other products as patent royalties on mobile phones; (ii) attributing royalties to mobile phones that may have been paid on other mobile products, such as tablets;  (iii) double counting, which means that we may be including both the royalty revenues declared by a licensor and the royalty revenues earned by a pool where the licensor is a member;   (iv) biasing approximations upwards.</t>
  </si>
  <si>
    <t>3. Data Quality</t>
  </si>
  <si>
    <t>The quality of data varies across firms.  We classify licensors according the accuracy of our estimates of their licensing data in four categories: Confirmed, Documented, Approximated, and Researched. Table 1 shows the licensors classified in each category.</t>
  </si>
  <si>
    <t xml:space="preserve">As as a general rule, the largest licensors are also the entities which disaggregate licensing revenues from other revenues, and for which we have a primary source document that was generated as a legal requirement. Qualcomm, Interdigital, Nokia, and Ericsson, are examples of these kinds of licensors. Given the high quality and accountability of their direct knowledge of their operations and their reporting under SEC auspices, we consider these figures "Confirmed.” In 2015, this category accounted for 80.6 percent of total revenues. </t>
  </si>
  <si>
    <t xml:space="preserve">Other licensors provide sufficient information in publicly available documents so as to allow us to estimate their licensing revenues.  In some cases we have to disaggregate licensing revenues related to mobile phones from other licensing revenues based on information in footnotes to SEC 10k’s.  In other cases, we have licensing fee schedules and the identities of the licensees, and can estimate the licensing revenues per licensee. We denote these as "Documented."  Entities in this category include the major patent pools such as MPEGLA MPEG4; MPEGLA AVC/H.264, and Via's AAC pool.  It also includes Microsoft, which licenses its patents that read on the Android Operating System to OEMs. </t>
  </si>
  <si>
    <t xml:space="preserve">There are some entities that are non-trivial mobile phone value chain licensors for which we have information about their total licensing revenues.  We have to make assumptions, however, based on other data or interviews, about the percentage of their total licensing revenues that are from the mobile phone value chain.  We denote these as "Approximated." They include Tessera, Wi-LAN, and Rambus.  </t>
  </si>
  <si>
    <t xml:space="preserve">Finally, there are some entities with little or no disclosure.  Examination of the available data indicates that they have very modest, sometimes zero, revenues. We denote these as “Researched.”  The one exception to the generalization about size and data quality is Intellectual Ventures.  In this case, we have estimated its total revenues from information on its own website over time (using the web-tools that allow researchers to look at archived webpages) and from information in the trade press about its financial performance. We have to approximate the percentage of this revenue from the mobile phone value chain on the basis of information on the firm’s website about its patent portfolio, as well as interviews with industry practitioners. </t>
  </si>
  <si>
    <t>4. Results</t>
  </si>
  <si>
    <t>We are able to estimate, with varying degrees of accuracy, the mobile phone patent licensing revenues of 32 licensors in the mobile phone value chain.  We estimate that the 32 licensors as a group had cumulative royalties in 2015 of almost $14.3 billion (see Tab 1.7, Revenues by Licensor). Of these 32, 11 have licensing revenues of effectively zero.  Licensing revenues of the remaining 21 firms run from a low of $2.4 million to a high of $8.2 billion in 2015.</t>
  </si>
  <si>
    <t>One way to put these numbers into perspective is to ask how they compare to the value of mobile phone shipments.  In 2015 original equipment manufacturers (OEMs) sold 1.97 billion mobile phones for $437 billion (see Tab 1.8, Device Sales).  It follows that the ASP was $221.80, and that the average cumulative royalty per phone was $7.25.  The Average Cumulative Royalty Yield is simply total patent royalties divided by the value of total phone shipments, or 3.3 percent (see Tab 1.3, Royalty Yield Summary).</t>
  </si>
  <si>
    <t xml:space="preserve">Another way to put these data into perspective is to ask how they compare to data from earlier years.  Because we take a time-series approach, some of our firm-level revenue estimates go back to 2000. By 2007, we have 10 firms that report royalty revenue, and these accounted for 76 percent of all royalty revenues in 2015. By 2009, we have 14 firms that report royalty revenue, and these accounted for 92 percent of all royalty revenues in 2015.  Figure 1.4.1 shows, both of those series are remarkably stable. The 2009-15 series, for example, hovers at around 3 percent, falling only marginally during the last two years. </t>
  </si>
  <si>
    <t xml:space="preserve">Yet another way to put these data into perspective is to ask how they compare to estimates that other researchers have made about the other costs of production, such as semiconductors and base band processors, as well as OEM operating margins on mobile phones (see Tab 1.5, Economic Analysis and Figure 1.5.1). The results indicate that patent licensing is the smallest of the categories: slightly lower than the cost of base band processors, about one-sixth the cost of semiconductors, and about one-fourth of OEM operating margins. </t>
  </si>
  <si>
    <t>5. Sensitivity Analysis</t>
  </si>
  <si>
    <t xml:space="preserve">These results do not seem to be sensitive to how one treats the data.  For example, what if we assume that feature phones no longer yield patent licensing revenues, because they are now mostly produced and sold in jurisdictions that tend not to be strong enforcers of IP rights?  What would happen if the cumulative royalties of $14.3 billion in 2015 would be spread across 1.424 billion smartphones with a total value of $424 billion instead of 1.97 billion smart and feature phones with a value of $437 billion. The Average Cumulative Royalty per smartphone would be $9.93. The Average Cumulative Royalty Yield would be 3.4 percent (see Tab 1.3, Royalty Yield Summary). </t>
  </si>
  <si>
    <t xml:space="preserve">What would happen if we imputed the royalties of firms that we know earn some licensing revenues, but that do not provide enough information for us to estimate those revenues on a firm-by-firm basis?  The results would be a modest increase in the Average Cumulative Royalty Yield (see Tab 1.6, Sensitivity).  For example, if we assume that these firms as a group earned $1 billion in licensing revenues in 2015, which would be a generous assumption, then the royalty yield on a smartphone would increase from 3.4 percent to come to 3.6 percent. If we make the extremely generous assumption that the combined royalties of these firms came to $2 billion in 2015, then the cumulative average royalty yield would still only be 3.8 percent. </t>
  </si>
  <si>
    <t xml:space="preserve">What happens if we relax the assumption that every smartphone shipped in 2015 paid licensing royalties?  What if it was the case that some OEMs evaded licenses, such that the $14.3 billion is actually spread across fewer than 1.4347 billion smartphones?  As a first step, we find determine an upper-bound evasion rate, which we put at 30 percent (see Tab 1.6, Sensitivity).  We then calculate the Average Cumulative Royalty Yield assuming that only 70 percent of smartphones paid licensing royalties. Table 3 shows the results.  Under the assumptions that: (i) all royalties are charged on smartphones (none on feature phones); and (ii) that 30 percent of smartphone production evades royalties, the average cumulative royalty rate would grow from 3.4 percent to 4.8 percent. </t>
  </si>
  <si>
    <t xml:space="preserve">What if we pushed harder still, and made three strong assumptions: all royalties are earned on smartphones; the evasion rate is 30 percent; and the royalties for firms in the “Other” un-enumerated category in 2015 was $2 billion?  How high could we push the estimate of the Average Cumulative Royalty Yield?  As Tab 1.6 shows, the answer is 5.5 percent. </t>
  </si>
  <si>
    <t>6. Concluding Remarks</t>
  </si>
  <si>
    <t xml:space="preserve">A crucial input to any academic inquiry, policy debate, or industry study is the facts, dispassionately gathered.  Our purpose in creating the dataset we outline in this note is to do that. The information in this dataset is therefore not meant as a judgment of any sort upon the merits or effectiveness of any entity or its operations.  We invite users of this dataset to share their ideas, suggestions, and corrections with us so that they may be potentially included in future versions.  We would like to improve upon these estimates by making corrections when we have erred and to obtain superior data sources when they exist.  We will be first to seek improvement in our next edition, and hope to benefit from the support of likeminded others.  Perhaps with ongoing cooperation within the community over time we may all gain greater clarity as to the functioning of individual firms and the industry.
</t>
  </si>
  <si>
    <t>Baseband Processor Cost</t>
  </si>
  <si>
    <t>Other Semic Cost</t>
  </si>
  <si>
    <t>Patent License Cost</t>
  </si>
  <si>
    <t>In addition, there are firms that appear to earn some patent licensing royalties from the mobile phone value chain, but there is limited information in the public domain about the magnitudes.  Some large, public companies (some of which are mobile phone OEMs) earn some patent licensing revenues, but their licensing activities are not significant enough to be a reportable segment in their financial statements. Some of these firms, or EMSs that produce for them, are also major sources of licensing revenue for other firms covered in this study. There are also small private companies that appear to earn some patent licensing royalties from the mobile phone value chain, but the publicly available information about their revenues and operations is fragmentary. We call those “Other identified firms.” The available evidence does not suggest any one of these firms—public or private—individually has licensing revenues significant enough that its addition would have a material effect on the overall magnitude of the cumulative royalty yield.</t>
  </si>
  <si>
    <t xml:space="preserve">There are some public firms that earn patent licensing revenue in the mobile phone value chain but in amounts that are modest relative to their other revenue sources. They therefore do not break out this revenue as a reportable segment in their public filings.  There are also private firms, and these are not obligated to disclose their revenue sources. When practicable, we estimate the revenues of both types of firms on the basis of information on their websites, reports in the trade and financial press, and interviews with industry practitioners (see Tab 1.7, Revenues by Licensor). When it is not practicable, we enumerate those firms (see Tab 6.0, Other Firms). We then do a sensitivity analysis in which we assign a series of plausible total revenues for these firms as a group (based on information from the trade press as well as interviews with industry practitioners) in order to see the degree to which their inclusion affects our results (see, Tab 1.6, Sensitivity). That sensitivity analysis finds that even an upper bound estimate of the combined mobile phone patent licensing revenues of these firms would not have a significant effect: even if the mobile phone patent licensing revenues for these firms as a group were $2 billion, the average cumulative royalty yield would only increase between 0.4 and 0.6 percentage points. </t>
  </si>
  <si>
    <t>Published: September 25, 2016</t>
  </si>
  <si>
    <t>The approach to data and methods employed in constructing this dataset build upon earlier work by Keith Mallinson on the royalty yield on mobile SEP licensing fees. See:</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</si>
</sst>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5" formatCode="&quot;$&quot;#,##0_);\(&quot;$&quot;#,##0\)"/>
    <numFmt numFmtId="44" formatCode="_(&quot;$&quot;* #,##0.00_);_(&quot;$&quot;* \(#,##0.00\);_(&quot;$&quot;* &quot;-&quot;??_);_(@_)"/>
    <numFmt numFmtId="43" formatCode="_(* #,##0.00_);_(* \(#,##0.00\);_(* &quot;-&quot;??_);_(@_)"/>
    <numFmt numFmtId="164" formatCode="&quot;$&quot;#,##0"/>
    <numFmt numFmtId="165" formatCode="0.0%"/>
    <numFmt numFmtId="166" formatCode="#,##0[$€-243B]"/>
    <numFmt numFmtId="167" formatCode="#,##0[$SEK-143B]"/>
    <numFmt numFmtId="168" formatCode="&quot;$&quot;#,##0.00"/>
    <numFmt numFmtId="169" formatCode="0.0"/>
    <numFmt numFmtId="170" formatCode="_(* #,##0_);_(* \(#,##0\);_(* &quot;-&quot;??_);_(@_)"/>
    <numFmt numFmtId="171" formatCode="_(&quot;$&quot;* #,##0_);_(&quot;$&quot;* \(#,##0\);_(&quot;$&quot;* &quot;-&quot;??_);_(@_)"/>
    <numFmt numFmtId="172" formatCode="0.000%"/>
    <numFmt numFmtId="173" formatCode="[$€-C07]\ #,##0"/>
    <numFmt numFmtId="174" formatCode="&quot;$&quot;#,##0.000"/>
    <numFmt numFmtId="175" formatCode="_(* #,##0.000_);_(* \(#,##0.000\);_(* &quot;-&quot;??_);_(@_)"/>
    <numFmt numFmtId="176" formatCode="_([$€-2]\ * #,##0_);_([$€-2]\ * \(#,##0\);_([$€-2]\ * &quot;-&quot;??_);_(@_)"/>
    <numFmt numFmtId="177" formatCode="#,##0\ [$SEK-143B]"/>
    <numFmt numFmtId="178" formatCode="[$-409]mmmm\ d\,\ yyyy;@"/>
    <numFmt numFmtId="179" formatCode="_(* #,##0.0_);_(* \(#,##0.0\);_(* &quot;-&quot;??_);_(@_)"/>
  </numFmts>
  <fonts count="45" x14ac:knownFonts="1">
    <font>
      <sz val="12"/>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u/>
      <sz val="12"/>
      <color theme="10"/>
      <name val="Calibri"/>
      <family val="2"/>
      <charset val="238"/>
      <scheme val="minor"/>
    </font>
    <font>
      <u/>
      <sz val="12"/>
      <color theme="11"/>
      <name val="Calibri"/>
      <family val="2"/>
      <charset val="238"/>
      <scheme val="minor"/>
    </font>
    <font>
      <sz val="12"/>
      <color rgb="FF000000"/>
      <name val="Calibri"/>
      <family val="2"/>
      <charset val="238"/>
      <scheme val="minor"/>
    </font>
    <font>
      <sz val="10"/>
      <name val="Arial"/>
      <family val="2"/>
    </font>
    <font>
      <sz val="10"/>
      <color theme="1"/>
      <name val="Arial"/>
      <family val="2"/>
    </font>
    <font>
      <b/>
      <sz val="12"/>
      <color theme="1"/>
      <name val="Calibri"/>
      <family val="2"/>
      <scheme val="minor"/>
    </font>
    <font>
      <b/>
      <sz val="9"/>
      <color theme="1"/>
      <name val="Calibri"/>
      <family val="2"/>
      <scheme val="minor"/>
    </font>
    <font>
      <sz val="9"/>
      <color theme="1"/>
      <name val="Calibri"/>
      <family val="2"/>
      <scheme val="minor"/>
    </font>
    <font>
      <sz val="10"/>
      <name val="Calibri"/>
      <family val="2"/>
      <scheme val="minor"/>
    </font>
    <font>
      <sz val="10"/>
      <color theme="1"/>
      <name val="Calibri"/>
      <family val="2"/>
      <scheme val="minor"/>
    </font>
    <font>
      <b/>
      <sz val="10"/>
      <color theme="1"/>
      <name val="Calibri"/>
      <family val="2"/>
      <scheme val="minor"/>
    </font>
    <font>
      <sz val="8"/>
      <name val="Calibri"/>
      <family val="2"/>
      <scheme val="minor"/>
    </font>
    <font>
      <b/>
      <sz val="16"/>
      <color theme="1"/>
      <name val="Calibri"/>
      <family val="2"/>
      <scheme val="minor"/>
    </font>
    <font>
      <sz val="14"/>
      <color theme="1"/>
      <name val="Calibri"/>
      <family val="2"/>
      <scheme val="minor"/>
    </font>
    <font>
      <sz val="20"/>
      <color theme="1"/>
      <name val="Calibri"/>
      <family val="2"/>
      <scheme val="minor"/>
    </font>
    <font>
      <sz val="18"/>
      <color theme="1"/>
      <name val="Calibri"/>
      <family val="2"/>
      <scheme val="minor"/>
    </font>
    <font>
      <i/>
      <sz val="12"/>
      <color theme="1"/>
      <name val="Calibri"/>
      <family val="2"/>
      <scheme val="minor"/>
    </font>
    <font>
      <u/>
      <sz val="12"/>
      <color theme="1"/>
      <name val="Calibri"/>
      <family val="2"/>
      <scheme val="minor"/>
    </font>
    <font>
      <b/>
      <sz val="14"/>
      <color theme="1"/>
      <name val="Calibri"/>
      <family val="2"/>
      <scheme val="minor"/>
    </font>
    <font>
      <b/>
      <sz val="12"/>
      <color rgb="FFFF0000"/>
      <name val="Calibri"/>
      <family val="2"/>
      <scheme val="minor"/>
    </font>
    <font>
      <b/>
      <sz val="12"/>
      <color rgb="FF00B050"/>
      <name val="Calibri"/>
      <family val="2"/>
      <scheme val="minor"/>
    </font>
    <font>
      <b/>
      <u/>
      <sz val="12"/>
      <color theme="10"/>
      <name val="Calibri"/>
      <family val="2"/>
      <scheme val="minor"/>
    </font>
    <font>
      <b/>
      <sz val="12"/>
      <color rgb="FF0432FF"/>
      <name val="Calibri"/>
      <family val="2"/>
      <scheme val="minor"/>
    </font>
    <font>
      <u/>
      <sz val="12"/>
      <color rgb="FF000000"/>
      <name val="Calibri"/>
      <family val="2"/>
      <charset val="238"/>
      <scheme val="minor"/>
    </font>
    <font>
      <b/>
      <i/>
      <sz val="12"/>
      <color theme="1"/>
      <name val="Calibri"/>
      <family val="2"/>
      <scheme val="minor"/>
    </font>
    <font>
      <sz val="12"/>
      <color rgb="FF000000"/>
      <name val="Arial"/>
      <family val="2"/>
    </font>
    <font>
      <sz val="12"/>
      <color theme="0"/>
      <name val="Calibri"/>
      <family val="2"/>
      <scheme val="minor"/>
    </font>
    <font>
      <u/>
      <sz val="10"/>
      <color theme="1"/>
      <name val="Calibri"/>
      <family val="2"/>
      <scheme val="minor"/>
    </font>
    <font>
      <u/>
      <vertAlign val="superscript"/>
      <sz val="12"/>
      <color theme="1"/>
      <name val="Calibri"/>
      <family val="2"/>
      <scheme val="minor"/>
    </font>
    <font>
      <b/>
      <sz val="12"/>
      <color rgb="FF000000"/>
      <name val="Calibri"/>
      <family val="2"/>
      <scheme val="minor"/>
    </font>
    <font>
      <sz val="11"/>
      <color theme="1"/>
      <name val="Georgia"/>
      <family val="1"/>
    </font>
    <font>
      <i/>
      <sz val="11"/>
      <color theme="1"/>
      <name val="Georgia"/>
      <family val="1"/>
    </font>
    <font>
      <b/>
      <sz val="12"/>
      <color theme="0"/>
      <name val="Calibri"/>
      <family val="2"/>
      <scheme val="minor"/>
    </font>
    <font>
      <sz val="12"/>
      <color rgb="FF0432FF"/>
      <name val="Calibri"/>
      <family val="2"/>
      <scheme val="minor"/>
    </font>
    <font>
      <sz val="10"/>
      <color theme="0"/>
      <name val="Calibri"/>
      <family val="2"/>
      <scheme val="minor"/>
    </font>
    <font>
      <u/>
      <sz val="10"/>
      <name val="Arial"/>
      <family val="2"/>
    </font>
    <font>
      <sz val="12"/>
      <name val="Calibri"/>
      <family val="2"/>
      <scheme val="minor"/>
    </font>
    <font>
      <u/>
      <sz val="12"/>
      <color rgb="FF000000"/>
      <name val="Calibri"/>
      <family val="2"/>
    </font>
    <font>
      <sz val="12"/>
      <color rgb="FF000000"/>
      <name val="Calibri"/>
      <family val="2"/>
    </font>
    <font>
      <sz val="11"/>
      <color theme="1"/>
      <name val="Times New Roman"/>
      <family val="1"/>
    </font>
    <font>
      <sz val="12"/>
      <color theme="1"/>
      <name val="Calibri"/>
      <family val="2"/>
    </font>
  </fonts>
  <fills count="5">
    <fill>
      <patternFill patternType="none"/>
    </fill>
    <fill>
      <patternFill patternType="gray125"/>
    </fill>
    <fill>
      <patternFill patternType="solid">
        <fgColor theme="4" tint="0.79998168889431442"/>
        <bgColor theme="4" tint="0.79998168889431442"/>
      </patternFill>
    </fill>
    <fill>
      <patternFill patternType="solid">
        <fgColor theme="0"/>
        <bgColor theme="0"/>
      </patternFill>
    </fill>
    <fill>
      <patternFill patternType="solid">
        <fgColor indexed="65"/>
        <bgColor theme="0"/>
      </patternFill>
    </fill>
  </fills>
  <borders count="50">
    <border>
      <left/>
      <right/>
      <top/>
      <bottom/>
      <diagonal/>
    </border>
    <border>
      <left/>
      <right/>
      <top/>
      <bottom style="thick">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top style="thin">
        <color theme="4" tint="0.79998168889431442"/>
      </top>
      <bottom style="thin">
        <color theme="4"/>
      </bottom>
      <diagonal/>
    </border>
    <border>
      <left/>
      <right/>
      <top style="thin">
        <color theme="4" tint="0.59999389629810485"/>
      </top>
      <bottom style="thin">
        <color theme="4" tint="0.59999389629810485"/>
      </bottom>
      <diagonal/>
    </border>
    <border>
      <left/>
      <right/>
      <top style="thin">
        <color theme="4" tint="0.79998168889431442"/>
      </top>
      <bottom style="thin">
        <color theme="4" tint="0.79998168889431442"/>
      </bottom>
      <diagonal/>
    </border>
    <border>
      <left/>
      <right/>
      <top style="thin">
        <color theme="4"/>
      </top>
      <bottom style="thin">
        <color theme="4" tint="0.59999389629810485"/>
      </bottom>
      <diagonal/>
    </border>
    <border>
      <left/>
      <right/>
      <top style="thin">
        <color auto="1"/>
      </top>
      <bottom/>
      <diagonal/>
    </border>
    <border>
      <left style="thick">
        <color auto="1"/>
      </left>
      <right/>
      <top style="thick">
        <color auto="1"/>
      </top>
      <bottom/>
      <diagonal/>
    </border>
    <border>
      <left/>
      <right/>
      <top style="thick">
        <color auto="1"/>
      </top>
      <bottom/>
      <diagonal/>
    </border>
    <border>
      <left/>
      <right style="thick">
        <color auto="1"/>
      </right>
      <top style="thick">
        <color auto="1"/>
      </top>
      <bottom/>
      <diagonal/>
    </border>
    <border>
      <left style="thick">
        <color auto="1"/>
      </left>
      <right/>
      <top/>
      <bottom/>
      <diagonal/>
    </border>
    <border>
      <left/>
      <right style="thick">
        <color auto="1"/>
      </right>
      <top/>
      <bottom/>
      <diagonal/>
    </border>
    <border>
      <left/>
      <right style="thick">
        <color auto="1"/>
      </right>
      <top style="medium">
        <color auto="1"/>
      </top>
      <bottom/>
      <diagonal/>
    </border>
    <border>
      <left/>
      <right style="thick">
        <color auto="1"/>
      </right>
      <top/>
      <bottom style="medium">
        <color auto="1"/>
      </bottom>
      <diagonal/>
    </border>
    <border>
      <left style="thick">
        <color auto="1"/>
      </left>
      <right/>
      <top/>
      <bottom style="thick">
        <color auto="1"/>
      </bottom>
      <diagonal/>
    </border>
    <border>
      <left/>
      <right style="thick">
        <color auto="1"/>
      </right>
      <top/>
      <bottom style="thick">
        <color auto="1"/>
      </bottom>
      <diagonal/>
    </border>
    <border>
      <left/>
      <right style="thick">
        <color auto="1"/>
      </right>
      <top style="thin">
        <color auto="1"/>
      </top>
      <bottom/>
      <diagonal/>
    </border>
    <border>
      <left/>
      <right style="thick">
        <color auto="1"/>
      </right>
      <top/>
      <bottom style="thin">
        <color auto="1"/>
      </bottom>
      <diagonal/>
    </border>
    <border>
      <left style="thick">
        <color auto="1"/>
      </left>
      <right/>
      <top style="thin">
        <color theme="4" tint="0.79998168889431442"/>
      </top>
      <bottom style="thin">
        <color theme="4"/>
      </bottom>
      <diagonal/>
    </border>
    <border>
      <left/>
      <right style="thick">
        <color auto="1"/>
      </right>
      <top style="thin">
        <color theme="4" tint="0.79998168889431442"/>
      </top>
      <bottom style="thin">
        <color theme="4"/>
      </bottom>
      <diagonal/>
    </border>
    <border>
      <left style="thick">
        <color auto="1"/>
      </left>
      <right/>
      <top style="thin">
        <color theme="4" tint="0.59999389629810485"/>
      </top>
      <bottom style="thin">
        <color theme="4" tint="0.59999389629810485"/>
      </bottom>
      <diagonal/>
    </border>
    <border>
      <left/>
      <right style="thick">
        <color auto="1"/>
      </right>
      <top style="thin">
        <color theme="4" tint="0.59999389629810485"/>
      </top>
      <bottom style="thin">
        <color theme="4" tint="0.59999389629810485"/>
      </bottom>
      <diagonal/>
    </border>
    <border>
      <left style="thick">
        <color auto="1"/>
      </left>
      <right/>
      <top style="thin">
        <color theme="4" tint="0.79998168889431442"/>
      </top>
      <bottom style="thin">
        <color theme="4" tint="0.79998168889431442"/>
      </bottom>
      <diagonal/>
    </border>
    <border>
      <left/>
      <right style="thick">
        <color auto="1"/>
      </right>
      <top style="thin">
        <color theme="4" tint="0.79998168889431442"/>
      </top>
      <bottom style="thin">
        <color theme="4" tint="0.79998168889431442"/>
      </bottom>
      <diagonal/>
    </border>
    <border>
      <left style="thick">
        <color auto="1"/>
      </left>
      <right/>
      <top style="thin">
        <color theme="4"/>
      </top>
      <bottom style="thin">
        <color theme="4" tint="0.59999389629810485"/>
      </bottom>
      <diagonal/>
    </border>
    <border>
      <left/>
      <right style="thick">
        <color auto="1"/>
      </right>
      <top style="thin">
        <color theme="4"/>
      </top>
      <bottom style="thin">
        <color theme="4" tint="0.59999389629810485"/>
      </bottom>
      <diagonal/>
    </border>
    <border>
      <left style="thick">
        <color auto="1"/>
      </left>
      <right/>
      <top style="thin">
        <color theme="4" tint="0.59999389629810485"/>
      </top>
      <bottom style="thick">
        <color auto="1"/>
      </bottom>
      <diagonal/>
    </border>
    <border>
      <left/>
      <right/>
      <top style="thin">
        <color theme="4" tint="0.59999389629810485"/>
      </top>
      <bottom style="thick">
        <color auto="1"/>
      </bottom>
      <diagonal/>
    </border>
    <border>
      <left/>
      <right style="thick">
        <color auto="1"/>
      </right>
      <top style="thin">
        <color theme="4" tint="0.59999389629810485"/>
      </top>
      <bottom style="thick">
        <color auto="1"/>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
      <left style="thick">
        <color auto="1"/>
      </left>
      <right/>
      <top style="thin">
        <color auto="1"/>
      </top>
      <bottom/>
      <diagonal/>
    </border>
    <border>
      <left style="thick">
        <color auto="1"/>
      </left>
      <right/>
      <top/>
      <bottom style="thin">
        <color auto="1"/>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161">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9" fontId="3" fillId="0" borderId="0" applyFont="0" applyFill="0" applyBorder="0" applyAlignment="0" applyProtection="0"/>
    <xf numFmtId="44" fontId="2" fillId="0" borderId="0" applyFont="0" applyFill="0" applyBorder="0" applyAlignment="0" applyProtection="0"/>
    <xf numFmtId="43" fontId="1" fillId="0" borderId="0" applyFon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cellStyleXfs>
  <cellXfs count="417">
    <xf numFmtId="0" fontId="0" fillId="0" borderId="0" xfId="0"/>
    <xf numFmtId="164" fontId="0" fillId="0" borderId="0" xfId="0" applyNumberFormat="1"/>
    <xf numFmtId="0" fontId="6" fillId="0" borderId="0" xfId="0" applyFont="1"/>
    <xf numFmtId="165" fontId="0" fillId="0" borderId="0" xfId="0" applyNumberFormat="1"/>
    <xf numFmtId="0" fontId="0" fillId="0" borderId="0" xfId="0" applyAlignment="1"/>
    <xf numFmtId="167" fontId="0" fillId="0" borderId="0" xfId="0" applyNumberFormat="1"/>
    <xf numFmtId="168" fontId="0" fillId="0" borderId="0" xfId="0" applyNumberFormat="1"/>
    <xf numFmtId="164" fontId="0" fillId="0" borderId="0" xfId="0" applyNumberFormat="1" applyAlignment="1"/>
    <xf numFmtId="3" fontId="0" fillId="0" borderId="0" xfId="0" applyNumberFormat="1"/>
    <xf numFmtId="0" fontId="0" fillId="0" borderId="1" xfId="0" applyBorder="1"/>
    <xf numFmtId="169" fontId="0" fillId="0" borderId="0" xfId="0" applyNumberFormat="1"/>
    <xf numFmtId="3" fontId="0" fillId="0" borderId="4" xfId="0" applyNumberFormat="1" applyBorder="1"/>
    <xf numFmtId="3" fontId="0" fillId="0" borderId="5" xfId="0" applyNumberFormat="1" applyBorder="1"/>
    <xf numFmtId="3" fontId="0" fillId="0" borderId="6" xfId="0" applyNumberFormat="1" applyBorder="1"/>
    <xf numFmtId="3" fontId="0" fillId="0" borderId="7" xfId="0" applyNumberFormat="1" applyBorder="1"/>
    <xf numFmtId="0" fontId="0" fillId="0" borderId="7" xfId="0" applyBorder="1"/>
    <xf numFmtId="0" fontId="0" fillId="0" borderId="0" xfId="0" applyBorder="1"/>
    <xf numFmtId="0" fontId="0" fillId="0" borderId="8" xfId="0" applyBorder="1"/>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169" fontId="0" fillId="0" borderId="11" xfId="0" applyNumberFormat="1" applyBorder="1"/>
    <xf numFmtId="169" fontId="0" fillId="0" borderId="13" xfId="0" applyNumberFormat="1" applyBorder="1"/>
    <xf numFmtId="0" fontId="10" fillId="0" borderId="14" xfId="0" applyFont="1" applyBorder="1"/>
    <xf numFmtId="170" fontId="11" fillId="2" borderId="15" xfId="0" applyNumberFormat="1" applyFont="1" applyFill="1" applyBorder="1"/>
    <xf numFmtId="171" fontId="11" fillId="0" borderId="16" xfId="0" applyNumberFormat="1" applyFont="1" applyBorder="1"/>
    <xf numFmtId="44" fontId="11" fillId="2" borderId="15" xfId="0" applyNumberFormat="1" applyFont="1" applyFill="1" applyBorder="1"/>
    <xf numFmtId="170" fontId="11" fillId="0" borderId="16" xfId="0" applyNumberFormat="1" applyFont="1" applyBorder="1"/>
    <xf numFmtId="171" fontId="11" fillId="2" borderId="15" xfId="0" applyNumberFormat="1" applyFont="1" applyFill="1" applyBorder="1"/>
    <xf numFmtId="44" fontId="11" fillId="0" borderId="16" xfId="0" applyNumberFormat="1" applyFont="1" applyBorder="1"/>
    <xf numFmtId="170" fontId="10" fillId="3" borderId="17" xfId="0" applyNumberFormat="1" applyFont="1" applyFill="1" applyBorder="1"/>
    <xf numFmtId="171" fontId="10" fillId="3" borderId="16" xfId="0" applyNumberFormat="1" applyFont="1" applyFill="1" applyBorder="1"/>
    <xf numFmtId="0" fontId="0" fillId="4" borderId="14" xfId="0" applyFont="1" applyFill="1" applyBorder="1"/>
    <xf numFmtId="0" fontId="0" fillId="0" borderId="0" xfId="0" applyFont="1"/>
    <xf numFmtId="170" fontId="0" fillId="4" borderId="15" xfId="0" applyNumberFormat="1" applyFont="1" applyFill="1" applyBorder="1"/>
    <xf numFmtId="171" fontId="0" fillId="4" borderId="16" xfId="0" applyNumberFormat="1" applyFont="1" applyFill="1" applyBorder="1"/>
    <xf numFmtId="44" fontId="0" fillId="4" borderId="15" xfId="0" applyNumberFormat="1" applyFont="1" applyFill="1" applyBorder="1"/>
    <xf numFmtId="170" fontId="0" fillId="4" borderId="16" xfId="0" applyNumberFormat="1" applyFont="1" applyFill="1" applyBorder="1"/>
    <xf numFmtId="171" fontId="0" fillId="4" borderId="15" xfId="0" applyNumberFormat="1" applyFont="1" applyFill="1" applyBorder="1"/>
    <xf numFmtId="44" fontId="0" fillId="4" borderId="16" xfId="0" applyNumberFormat="1" applyFont="1" applyFill="1" applyBorder="1"/>
    <xf numFmtId="170" fontId="0" fillId="4" borderId="17" xfId="0" applyNumberFormat="1" applyFont="1" applyFill="1" applyBorder="1"/>
    <xf numFmtId="0" fontId="0" fillId="4" borderId="0" xfId="0" applyFont="1" applyFill="1" applyBorder="1"/>
    <xf numFmtId="0" fontId="9" fillId="0" borderId="0" xfId="0" applyFont="1"/>
    <xf numFmtId="0" fontId="9" fillId="0" borderId="19" xfId="0" applyFont="1" applyBorder="1"/>
    <xf numFmtId="0" fontId="0" fillId="0" borderId="20" xfId="0" applyBorder="1"/>
    <xf numFmtId="0" fontId="0" fillId="0" borderId="21" xfId="0" applyBorder="1"/>
    <xf numFmtId="0" fontId="0" fillId="0" borderId="22" xfId="0" applyBorder="1"/>
    <xf numFmtId="0" fontId="0" fillId="0" borderId="23" xfId="0" applyBorder="1"/>
    <xf numFmtId="3" fontId="0" fillId="0" borderId="23" xfId="0" applyNumberFormat="1" applyBorder="1"/>
    <xf numFmtId="3" fontId="0" fillId="0" borderId="25" xfId="0" applyNumberFormat="1" applyBorder="1"/>
    <xf numFmtId="0" fontId="0" fillId="0" borderId="26" xfId="0" applyBorder="1"/>
    <xf numFmtId="0" fontId="0" fillId="0" borderId="27" xfId="0" applyBorder="1"/>
    <xf numFmtId="0" fontId="0" fillId="0" borderId="28" xfId="0" applyBorder="1"/>
    <xf numFmtId="169" fontId="0" fillId="0" borderId="23" xfId="0" applyNumberFormat="1" applyBorder="1"/>
    <xf numFmtId="169" fontId="0" fillId="0" borderId="29" xfId="0" applyNumberFormat="1" applyBorder="1"/>
    <xf numFmtId="0" fontId="4" fillId="0" borderId="23" xfId="350" applyBorder="1"/>
    <xf numFmtId="165" fontId="0" fillId="0" borderId="1" xfId="0" applyNumberFormat="1" applyBorder="1"/>
    <xf numFmtId="165" fontId="0" fillId="0" borderId="27" xfId="0" applyNumberFormat="1" applyBorder="1"/>
    <xf numFmtId="0" fontId="0" fillId="4" borderId="30" xfId="0" applyFont="1" applyFill="1" applyBorder="1"/>
    <xf numFmtId="0" fontId="0" fillId="4" borderId="31" xfId="0" applyFont="1" applyFill="1" applyBorder="1"/>
    <xf numFmtId="0" fontId="0" fillId="4" borderId="32" xfId="0" applyFont="1" applyFill="1" applyBorder="1"/>
    <xf numFmtId="170" fontId="0" fillId="4" borderId="33" xfId="0" applyNumberFormat="1" applyFont="1" applyFill="1" applyBorder="1"/>
    <xf numFmtId="0" fontId="0" fillId="4" borderId="34" xfId="0" applyFont="1" applyFill="1" applyBorder="1"/>
    <xf numFmtId="171" fontId="0" fillId="4" borderId="35" xfId="0" applyNumberFormat="1" applyFont="1" applyFill="1" applyBorder="1"/>
    <xf numFmtId="44" fontId="0" fillId="4" borderId="0" xfId="0" applyNumberFormat="1" applyFont="1" applyFill="1" applyBorder="1"/>
    <xf numFmtId="44" fontId="0" fillId="4" borderId="33" xfId="0" applyNumberFormat="1" applyFont="1" applyFill="1" applyBorder="1"/>
    <xf numFmtId="170" fontId="0" fillId="4" borderId="35" xfId="0" applyNumberFormat="1" applyFont="1" applyFill="1" applyBorder="1"/>
    <xf numFmtId="171" fontId="0" fillId="4" borderId="33" xfId="0" applyNumberFormat="1" applyFont="1" applyFill="1" applyBorder="1"/>
    <xf numFmtId="44" fontId="0" fillId="4" borderId="35" xfId="0" applyNumberFormat="1" applyFont="1" applyFill="1" applyBorder="1"/>
    <xf numFmtId="0" fontId="0" fillId="4" borderId="36" xfId="0" applyFont="1" applyFill="1" applyBorder="1"/>
    <xf numFmtId="170" fontId="0" fillId="4" borderId="37" xfId="0" applyNumberFormat="1" applyFont="1" applyFill="1" applyBorder="1"/>
    <xf numFmtId="0" fontId="0" fillId="4" borderId="38" xfId="0" applyFont="1" applyFill="1" applyBorder="1"/>
    <xf numFmtId="0" fontId="0" fillId="4" borderId="1" xfId="0" applyFont="1" applyFill="1" applyBorder="1"/>
    <xf numFmtId="44" fontId="10" fillId="3" borderId="39" xfId="0" applyNumberFormat="1" applyFont="1" applyFill="1" applyBorder="1"/>
    <xf numFmtId="44" fontId="0" fillId="4" borderId="1" xfId="0" applyNumberFormat="1" applyFont="1" applyFill="1" applyBorder="1"/>
    <xf numFmtId="44" fontId="0" fillId="4" borderId="39" xfId="0" applyNumberFormat="1" applyFont="1" applyFill="1" applyBorder="1"/>
    <xf numFmtId="44" fontId="0" fillId="4" borderId="40" xfId="0" applyNumberFormat="1" applyFont="1" applyFill="1" applyBorder="1"/>
    <xf numFmtId="0" fontId="0" fillId="4" borderId="22" xfId="0" applyFont="1" applyFill="1" applyBorder="1"/>
    <xf numFmtId="0" fontId="0" fillId="0" borderId="0" xfId="0" applyAlignment="1"/>
    <xf numFmtId="0" fontId="0" fillId="0" borderId="0" xfId="0" applyAlignment="1">
      <alignment wrapText="1"/>
    </xf>
    <xf numFmtId="0" fontId="9" fillId="0" borderId="0" xfId="0" applyFont="1" applyAlignment="1">
      <alignment wrapText="1"/>
    </xf>
    <xf numFmtId="3" fontId="0" fillId="0" borderId="11" xfId="0" applyNumberFormat="1" applyBorder="1"/>
    <xf numFmtId="0" fontId="6" fillId="0" borderId="10" xfId="0" applyFont="1" applyBorder="1"/>
    <xf numFmtId="0" fontId="0" fillId="0" borderId="41" xfId="0" applyBorder="1"/>
    <xf numFmtId="0" fontId="0" fillId="0" borderId="42" xfId="0" applyBorder="1" applyAlignment="1"/>
    <xf numFmtId="0" fontId="0" fillId="0" borderId="42" xfId="0" applyBorder="1"/>
    <xf numFmtId="0" fontId="9" fillId="0" borderId="41" xfId="0" applyFont="1" applyBorder="1"/>
    <xf numFmtId="0" fontId="0" fillId="0" borderId="43" xfId="0" applyBorder="1"/>
    <xf numFmtId="0" fontId="9" fillId="0" borderId="42" xfId="0" applyFont="1" applyBorder="1"/>
    <xf numFmtId="0" fontId="0" fillId="0" borderId="19" xfId="0" applyBorder="1"/>
    <xf numFmtId="0" fontId="0" fillId="0" borderId="0" xfId="0" applyFill="1" applyBorder="1"/>
    <xf numFmtId="0" fontId="0" fillId="0" borderId="42" xfId="0" applyFill="1" applyBorder="1"/>
    <xf numFmtId="164" fontId="0" fillId="0" borderId="23" xfId="0" applyNumberFormat="1" applyBorder="1"/>
    <xf numFmtId="164" fontId="0" fillId="0" borderId="27" xfId="0" applyNumberFormat="1" applyBorder="1"/>
    <xf numFmtId="0" fontId="0" fillId="0" borderId="44" xfId="0" applyBorder="1"/>
    <xf numFmtId="0" fontId="0" fillId="0" borderId="45" xfId="0" applyBorder="1"/>
    <xf numFmtId="0" fontId="0" fillId="0" borderId="22" xfId="0" applyFill="1" applyBorder="1"/>
    <xf numFmtId="0" fontId="0" fillId="0" borderId="41" xfId="0" applyBorder="1" applyAlignment="1">
      <alignment wrapText="1"/>
    </xf>
    <xf numFmtId="0" fontId="0" fillId="0" borderId="42" xfId="0" applyBorder="1" applyAlignment="1">
      <alignment wrapText="1"/>
    </xf>
    <xf numFmtId="0" fontId="0" fillId="0" borderId="43" xfId="0" applyBorder="1" applyAlignment="1">
      <alignment wrapText="1"/>
    </xf>
    <xf numFmtId="0" fontId="6" fillId="0" borderId="0" xfId="0" applyFont="1" applyBorder="1"/>
    <xf numFmtId="0" fontId="0" fillId="0" borderId="23" xfId="0" applyFill="1" applyBorder="1"/>
    <xf numFmtId="0" fontId="0" fillId="0" borderId="1" xfId="0" applyFill="1" applyBorder="1"/>
    <xf numFmtId="0" fontId="6" fillId="0" borderId="0" xfId="0" applyFont="1" applyFill="1" applyBorder="1"/>
    <xf numFmtId="0" fontId="6" fillId="0" borderId="10" xfId="0" applyFont="1" applyFill="1" applyBorder="1"/>
    <xf numFmtId="164" fontId="0" fillId="0" borderId="0" xfId="0" applyNumberFormat="1" applyBorder="1"/>
    <xf numFmtId="3" fontId="0" fillId="0" borderId="0" xfId="0" applyNumberFormat="1" applyBorder="1"/>
    <xf numFmtId="0" fontId="0" fillId="0" borderId="18" xfId="0" applyBorder="1"/>
    <xf numFmtId="0" fontId="0" fillId="0" borderId="0" xfId="0" applyAlignment="1">
      <alignment horizontal="center" wrapText="1"/>
    </xf>
    <xf numFmtId="0" fontId="0" fillId="0" borderId="0" xfId="0" applyAlignment="1">
      <alignment horizontal="left" wrapText="1"/>
    </xf>
    <xf numFmtId="0" fontId="0" fillId="0" borderId="0" xfId="0" applyAlignment="1">
      <alignment wrapText="1"/>
    </xf>
    <xf numFmtId="3" fontId="12" fillId="0" borderId="0" xfId="0" applyNumberFormat="1" applyFont="1" applyAlignment="1">
      <alignment horizontal="right" vertical="center"/>
    </xf>
    <xf numFmtId="165" fontId="12" fillId="0" borderId="0" xfId="0" applyNumberFormat="1" applyFont="1" applyAlignment="1">
      <alignment horizontal="left" vertical="center"/>
    </xf>
    <xf numFmtId="0" fontId="13" fillId="0" borderId="0" xfId="0" applyFont="1"/>
    <xf numFmtId="0" fontId="13" fillId="0" borderId="0" xfId="0" applyFont="1" applyBorder="1" applyAlignment="1">
      <alignment horizontal="center"/>
    </xf>
    <xf numFmtId="3" fontId="13" fillId="0" borderId="0" xfId="0" applyNumberFormat="1" applyFont="1"/>
    <xf numFmtId="165" fontId="13" fillId="0" borderId="0" xfId="0" applyNumberFormat="1" applyFont="1"/>
    <xf numFmtId="164" fontId="13" fillId="0" borderId="0" xfId="0" applyNumberFormat="1" applyFont="1"/>
    <xf numFmtId="168" fontId="13" fillId="0" borderId="0" xfId="0" applyNumberFormat="1" applyFont="1"/>
    <xf numFmtId="3" fontId="13" fillId="0" borderId="0" xfId="0" applyNumberFormat="1" applyFont="1" applyFill="1" applyBorder="1" applyAlignment="1" applyProtection="1">
      <alignment horizontal="right" vertical="center"/>
    </xf>
    <xf numFmtId="0" fontId="13" fillId="0" borderId="0" xfId="0" applyFont="1" applyBorder="1"/>
    <xf numFmtId="10" fontId="13" fillId="0" borderId="0" xfId="0" applyNumberFormat="1" applyFont="1"/>
    <xf numFmtId="172" fontId="13" fillId="0" borderId="0" xfId="0" applyNumberFormat="1" applyFont="1"/>
    <xf numFmtId="0" fontId="4" fillId="0" borderId="0" xfId="350"/>
    <xf numFmtId="0" fontId="0" fillId="0" borderId="0" xfId="0" applyAlignment="1"/>
    <xf numFmtId="174" fontId="0" fillId="0" borderId="0" xfId="0" applyNumberFormat="1"/>
    <xf numFmtId="0" fontId="0" fillId="0" borderId="0" xfId="0" applyAlignment="1">
      <alignment horizontal="center"/>
    </xf>
    <xf numFmtId="9" fontId="0" fillId="0" borderId="23" xfId="0" applyNumberFormat="1" applyBorder="1"/>
    <xf numFmtId="0" fontId="0" fillId="0" borderId="0" xfId="0" applyAlignment="1">
      <alignment wrapText="1"/>
    </xf>
    <xf numFmtId="0" fontId="16" fillId="0" borderId="0" xfId="0" applyFont="1"/>
    <xf numFmtId="0" fontId="0" fillId="0" borderId="0" xfId="0" applyAlignment="1">
      <alignment wrapText="1"/>
    </xf>
    <xf numFmtId="0" fontId="0" fillId="0" borderId="0" xfId="0" quotePrefix="1" applyAlignment="1">
      <alignment wrapText="1"/>
    </xf>
    <xf numFmtId="0" fontId="0" fillId="0" borderId="0" xfId="0" applyFill="1" applyBorder="1" applyAlignment="1">
      <alignment wrapText="1"/>
    </xf>
    <xf numFmtId="0" fontId="6" fillId="0" borderId="0" xfId="0" applyFont="1" applyAlignment="1">
      <alignment wrapText="1"/>
    </xf>
    <xf numFmtId="0" fontId="4" fillId="0" borderId="0" xfId="350" applyAlignment="1">
      <alignment wrapText="1"/>
    </xf>
    <xf numFmtId="0" fontId="18" fillId="0" borderId="0" xfId="0" applyFont="1"/>
    <xf numFmtId="0" fontId="19" fillId="0" borderId="0" xfId="0" applyFont="1"/>
    <xf numFmtId="0" fontId="0" fillId="0" borderId="0" xfId="0" applyAlignment="1">
      <alignment horizontal="left" indent="1"/>
    </xf>
    <xf numFmtId="164" fontId="0" fillId="0" borderId="0" xfId="0" applyNumberFormat="1" applyAlignment="1">
      <alignment wrapText="1"/>
    </xf>
    <xf numFmtId="0" fontId="0" fillId="0" borderId="46" xfId="0" applyFont="1" applyBorder="1" applyAlignment="1">
      <alignment horizontal="center" wrapText="1"/>
    </xf>
    <xf numFmtId="0" fontId="0" fillId="0" borderId="46" xfId="0" applyBorder="1" applyAlignment="1">
      <alignment horizontal="center" wrapText="1"/>
    </xf>
    <xf numFmtId="0" fontId="0" fillId="0" borderId="0" xfId="0" applyBorder="1" applyAlignment="1">
      <alignment horizontal="center" wrapText="1"/>
    </xf>
    <xf numFmtId="0" fontId="0" fillId="0" borderId="0" xfId="0" applyBorder="1" applyAlignment="1">
      <alignment wrapText="1"/>
    </xf>
    <xf numFmtId="0" fontId="21" fillId="0" borderId="0" xfId="0" applyFont="1"/>
    <xf numFmtId="0" fontId="20" fillId="0" borderId="0" xfId="0" applyFont="1"/>
    <xf numFmtId="0" fontId="22" fillId="0" borderId="0" xfId="0" applyFont="1"/>
    <xf numFmtId="0" fontId="24" fillId="0" borderId="0" xfId="0" applyFont="1"/>
    <xf numFmtId="0" fontId="22" fillId="0" borderId="0" xfId="0" applyFont="1" applyAlignment="1">
      <alignment wrapText="1"/>
    </xf>
    <xf numFmtId="0" fontId="25" fillId="0" borderId="0" xfId="350" applyFont="1"/>
    <xf numFmtId="0" fontId="0" fillId="0" borderId="0" xfId="0" applyAlignment="1">
      <alignment horizontal="center" vertical="center"/>
    </xf>
    <xf numFmtId="0" fontId="18" fillId="0" borderId="0" xfId="0" applyFont="1" applyAlignment="1">
      <alignment horizontal="center"/>
    </xf>
    <xf numFmtId="0" fontId="18" fillId="0" borderId="0" xfId="0" applyFont="1" applyAlignment="1">
      <alignment horizontal="center" vertical="center"/>
    </xf>
    <xf numFmtId="0" fontId="4" fillId="0" borderId="0" xfId="350" applyAlignment="1">
      <alignment horizontal="left" indent="1"/>
    </xf>
    <xf numFmtId="0" fontId="22" fillId="0" borderId="0" xfId="0" applyFont="1" applyAlignment="1"/>
    <xf numFmtId="0" fontId="0" fillId="0" borderId="0" xfId="0" applyFont="1" applyAlignment="1">
      <alignment wrapText="1"/>
    </xf>
    <xf numFmtId="169" fontId="4" fillId="0" borderId="0" xfId="350" quotePrefix="1" applyNumberFormat="1" applyAlignment="1">
      <alignment horizontal="left" indent="1"/>
    </xf>
    <xf numFmtId="0" fontId="4" fillId="0" borderId="0" xfId="350" applyAlignment="1">
      <alignment horizontal="left" indent="2"/>
    </xf>
    <xf numFmtId="0" fontId="9" fillId="0" borderId="0" xfId="0" applyFont="1" applyBorder="1" applyAlignment="1">
      <alignment wrapText="1"/>
    </xf>
    <xf numFmtId="0" fontId="21" fillId="0" borderId="0" xfId="0" applyFont="1" applyAlignment="1">
      <alignment horizontal="center"/>
    </xf>
    <xf numFmtId="0" fontId="0" fillId="0" borderId="0" xfId="0" applyAlignment="1">
      <alignment horizontal="left" wrapText="1" indent="2"/>
    </xf>
    <xf numFmtId="0" fontId="0" fillId="0" borderId="0" xfId="0" applyFont="1" applyAlignment="1">
      <alignment horizontal="left" wrapText="1" indent="3"/>
    </xf>
    <xf numFmtId="0" fontId="0" fillId="0" borderId="0" xfId="0" applyAlignment="1">
      <alignment horizontal="left" wrapText="1" indent="3"/>
    </xf>
    <xf numFmtId="9" fontId="0" fillId="0" borderId="0" xfId="1148" applyFont="1" applyAlignment="1">
      <alignment horizontal="left"/>
    </xf>
    <xf numFmtId="0" fontId="0" fillId="0" borderId="0" xfId="0" applyAlignment="1">
      <alignment horizontal="center" wrapText="1"/>
    </xf>
    <xf numFmtId="0" fontId="0" fillId="0" borderId="0" xfId="0" applyBorder="1" applyAlignment="1">
      <alignment horizontal="center"/>
    </xf>
    <xf numFmtId="0" fontId="0" fillId="0" borderId="0" xfId="0" applyAlignment="1">
      <alignment wrapText="1"/>
    </xf>
    <xf numFmtId="0" fontId="21" fillId="0" borderId="0" xfId="0" applyFont="1" applyAlignment="1">
      <alignment wrapText="1"/>
    </xf>
    <xf numFmtId="0" fontId="21" fillId="0" borderId="0" xfId="0" applyFont="1" applyAlignment="1">
      <alignment horizontal="center" wrapText="1"/>
    </xf>
    <xf numFmtId="0" fontId="0" fillId="0" borderId="0" xfId="0" applyAlignment="1">
      <alignment wrapText="1"/>
    </xf>
    <xf numFmtId="0" fontId="0" fillId="0" borderId="0" xfId="0" applyAlignment="1">
      <alignment horizontal="left" wrapText="1" indent="1"/>
    </xf>
    <xf numFmtId="0" fontId="21" fillId="0" borderId="0" xfId="0" applyFont="1" applyAlignment="1">
      <alignment horizontal="left" wrapText="1"/>
    </xf>
    <xf numFmtId="0" fontId="0" fillId="0" borderId="0" xfId="0" applyAlignment="1">
      <alignment horizontal="left"/>
    </xf>
    <xf numFmtId="0" fontId="21" fillId="0" borderId="10" xfId="0" applyFont="1" applyBorder="1" applyAlignment="1">
      <alignment horizontal="center"/>
    </xf>
    <xf numFmtId="164" fontId="0" fillId="0" borderId="10" xfId="0" applyNumberFormat="1" applyBorder="1"/>
    <xf numFmtId="0" fontId="21" fillId="0" borderId="10" xfId="0" applyFont="1" applyBorder="1" applyAlignment="1">
      <alignment horizontal="center" wrapText="1"/>
    </xf>
    <xf numFmtId="164" fontId="0" fillId="0" borderId="10" xfId="0" applyNumberFormat="1" applyBorder="1" applyAlignment="1">
      <alignment horizontal="center"/>
    </xf>
    <xf numFmtId="173" fontId="0" fillId="0" borderId="0" xfId="0" applyNumberFormat="1" applyAlignment="1">
      <alignment horizontal="center"/>
    </xf>
    <xf numFmtId="0" fontId="6" fillId="0" borderId="0" xfId="0" applyFont="1" applyAlignment="1">
      <alignment horizontal="center"/>
    </xf>
    <xf numFmtId="175" fontId="0" fillId="0" borderId="0" xfId="1150" applyNumberFormat="1" applyFont="1" applyAlignment="1">
      <alignment horizontal="center"/>
    </xf>
    <xf numFmtId="175" fontId="0" fillId="0" borderId="0" xfId="1150" applyNumberFormat="1" applyFont="1" applyAlignment="1"/>
    <xf numFmtId="175" fontId="6" fillId="0" borderId="0" xfId="1150" applyNumberFormat="1" applyFont="1" applyAlignment="1"/>
    <xf numFmtId="0" fontId="27" fillId="0" borderId="0" xfId="0" applyFont="1" applyAlignment="1">
      <alignment horizontal="center" wrapText="1"/>
    </xf>
    <xf numFmtId="166" fontId="0" fillId="0" borderId="0" xfId="0" applyNumberFormat="1" applyAlignment="1">
      <alignment horizontal="center"/>
    </xf>
    <xf numFmtId="176" fontId="0" fillId="0" borderId="0" xfId="0" applyNumberFormat="1" applyAlignment="1">
      <alignment horizontal="center"/>
    </xf>
    <xf numFmtId="171" fontId="0" fillId="0" borderId="0" xfId="1149" applyNumberFormat="1" applyFont="1" applyAlignment="1">
      <alignment horizontal="center"/>
    </xf>
    <xf numFmtId="171" fontId="0" fillId="0" borderId="10" xfId="1149" applyNumberFormat="1" applyFont="1" applyBorder="1" applyAlignment="1">
      <alignment horizontal="center"/>
    </xf>
    <xf numFmtId="177" fontId="0" fillId="0" borderId="0" xfId="0" applyNumberFormat="1"/>
    <xf numFmtId="44" fontId="0" fillId="0" borderId="0" xfId="1149" applyFont="1"/>
    <xf numFmtId="171" fontId="0" fillId="0" borderId="0" xfId="1149" applyNumberFormat="1" applyFont="1"/>
    <xf numFmtId="171" fontId="0" fillId="0" borderId="10" xfId="1149" applyNumberFormat="1" applyFont="1" applyBorder="1"/>
    <xf numFmtId="0" fontId="0" fillId="0" borderId="10" xfId="0" applyBorder="1" applyAlignment="1">
      <alignment horizontal="center"/>
    </xf>
    <xf numFmtId="171" fontId="0" fillId="0" borderId="0" xfId="1149" applyNumberFormat="1" applyFont="1" applyAlignment="1">
      <alignment horizontal="center" vertical="center"/>
    </xf>
    <xf numFmtId="175" fontId="6" fillId="0" borderId="0" xfId="1150" applyNumberFormat="1" applyFont="1"/>
    <xf numFmtId="176" fontId="0" fillId="0" borderId="0" xfId="0" applyNumberFormat="1"/>
    <xf numFmtId="9" fontId="0" fillId="0" borderId="0" xfId="0" applyNumberFormat="1" applyAlignment="1">
      <alignment horizontal="center"/>
    </xf>
    <xf numFmtId="165" fontId="0" fillId="0" borderId="0" xfId="0" applyNumberFormat="1" applyAlignment="1">
      <alignment horizontal="center"/>
    </xf>
    <xf numFmtId="0" fontId="22" fillId="0" borderId="0" xfId="0" applyFont="1" applyBorder="1"/>
    <xf numFmtId="0" fontId="17" fillId="0" borderId="0" xfId="0" applyFont="1" applyBorder="1"/>
    <xf numFmtId="0" fontId="23" fillId="0" borderId="0" xfId="0" applyFont="1" applyBorder="1"/>
    <xf numFmtId="0" fontId="21" fillId="0" borderId="0" xfId="0" applyFont="1" applyBorder="1" applyAlignment="1">
      <alignment horizontal="center" wrapText="1"/>
    </xf>
    <xf numFmtId="0" fontId="9" fillId="0" borderId="0" xfId="0" applyFont="1" applyBorder="1"/>
    <xf numFmtId="0" fontId="9" fillId="0" borderId="0" xfId="0" applyFont="1" applyFill="1" applyBorder="1"/>
    <xf numFmtId="9" fontId="0" fillId="0" borderId="0" xfId="1148" applyFont="1"/>
    <xf numFmtId="9" fontId="0" fillId="0" borderId="0" xfId="1148" applyFont="1" applyAlignment="1">
      <alignment horizontal="center"/>
    </xf>
    <xf numFmtId="0" fontId="0" fillId="0" borderId="0" xfId="0" applyAlignment="1">
      <alignment horizontal="center" wrapText="1"/>
    </xf>
    <xf numFmtId="0" fontId="0" fillId="0" borderId="0" xfId="0" applyBorder="1" applyAlignment="1">
      <alignment horizontal="center"/>
    </xf>
    <xf numFmtId="0" fontId="0" fillId="0" borderId="0" xfId="0" applyAlignment="1">
      <alignment wrapText="1"/>
    </xf>
    <xf numFmtId="0" fontId="0" fillId="0" borderId="0" xfId="0" applyFill="1" applyAlignment="1">
      <alignment wrapText="1"/>
    </xf>
    <xf numFmtId="171" fontId="0" fillId="0" borderId="0" xfId="1149" applyNumberFormat="1" applyFont="1" applyFill="1"/>
    <xf numFmtId="0" fontId="4" fillId="0" borderId="0" xfId="350" applyFill="1" applyAlignment="1">
      <alignment horizontal="left" indent="1"/>
    </xf>
    <xf numFmtId="0" fontId="0" fillId="0" borderId="0" xfId="0" applyFill="1"/>
    <xf numFmtId="178" fontId="0" fillId="0" borderId="0" xfId="0" applyNumberFormat="1" applyAlignment="1">
      <alignment horizontal="left"/>
    </xf>
    <xf numFmtId="171" fontId="0" fillId="0" borderId="18" xfId="1149" applyNumberFormat="1" applyFont="1" applyBorder="1"/>
    <xf numFmtId="0" fontId="0" fillId="0" borderId="0" xfId="0" applyAlignment="1"/>
    <xf numFmtId="0" fontId="0" fillId="0" borderId="0" xfId="0" applyAlignment="1">
      <alignment wrapText="1"/>
    </xf>
    <xf numFmtId="0" fontId="0" fillId="0" borderId="0" xfId="0" applyAlignment="1">
      <alignment horizontal="left" wrapText="1"/>
    </xf>
    <xf numFmtId="0" fontId="0" fillId="0" borderId="0" xfId="0" quotePrefix="1" applyAlignment="1">
      <alignment horizontal="left" wrapText="1"/>
    </xf>
    <xf numFmtId="164" fontId="0" fillId="0" borderId="18" xfId="0" applyNumberFormat="1" applyBorder="1" applyAlignment="1">
      <alignment horizontal="center" wrapText="1"/>
    </xf>
    <xf numFmtId="164" fontId="0" fillId="0" borderId="0" xfId="0" applyNumberFormat="1" applyAlignment="1">
      <alignment horizontal="center" wrapText="1"/>
    </xf>
    <xf numFmtId="165" fontId="0" fillId="0" borderId="0" xfId="0" applyNumberFormat="1" applyAlignment="1">
      <alignment horizontal="center" wrapText="1"/>
    </xf>
    <xf numFmtId="0" fontId="13" fillId="0" borderId="0" xfId="0" applyFont="1" applyAlignment="1">
      <alignment horizontal="center"/>
    </xf>
    <xf numFmtId="0" fontId="31" fillId="0" borderId="0" xfId="0" applyFont="1" applyAlignment="1">
      <alignment wrapText="1"/>
    </xf>
    <xf numFmtId="0" fontId="31" fillId="0" borderId="0" xfId="0" applyFont="1" applyAlignment="1">
      <alignment horizontal="center" wrapText="1"/>
    </xf>
    <xf numFmtId="165" fontId="12" fillId="0" borderId="0" xfId="0" applyNumberFormat="1" applyFont="1" applyAlignment="1">
      <alignment horizontal="center" vertical="center"/>
    </xf>
    <xf numFmtId="165" fontId="13" fillId="0" borderId="0" xfId="0" applyNumberFormat="1" applyFont="1" applyAlignment="1">
      <alignment horizontal="center"/>
    </xf>
    <xf numFmtId="168" fontId="13" fillId="0" borderId="0" xfId="0" applyNumberFormat="1" applyFont="1" applyAlignment="1">
      <alignment horizontal="center"/>
    </xf>
    <xf numFmtId="171" fontId="13" fillId="0" borderId="0" xfId="1149" applyNumberFormat="1" applyFont="1"/>
    <xf numFmtId="171" fontId="13" fillId="0" borderId="0" xfId="1149" applyNumberFormat="1" applyFont="1" applyFill="1" applyBorder="1" applyAlignment="1" applyProtection="1">
      <alignment horizontal="right" vertical="center"/>
    </xf>
    <xf numFmtId="3" fontId="12" fillId="0" borderId="10" xfId="0" applyNumberFormat="1" applyFont="1" applyBorder="1" applyAlignment="1">
      <alignment horizontal="right" vertical="center"/>
    </xf>
    <xf numFmtId="3" fontId="13" fillId="0" borderId="10" xfId="0" applyNumberFormat="1" applyFont="1" applyBorder="1"/>
    <xf numFmtId="171" fontId="13" fillId="0" borderId="10" xfId="1149" applyNumberFormat="1" applyFont="1" applyBorder="1"/>
    <xf numFmtId="171" fontId="13" fillId="0" borderId="0" xfId="1149" applyNumberFormat="1" applyFont="1" applyFill="1" applyBorder="1" applyAlignment="1" applyProtection="1">
      <alignment horizontal="center" vertical="center"/>
    </xf>
    <xf numFmtId="0" fontId="31" fillId="0" borderId="10" xfId="0" applyFont="1" applyBorder="1" applyAlignment="1">
      <alignment horizontal="center" wrapText="1"/>
    </xf>
    <xf numFmtId="9" fontId="26" fillId="0" borderId="0" xfId="0" applyNumberFormat="1" applyFont="1" applyBorder="1" applyAlignment="1">
      <alignment horizontal="center"/>
    </xf>
    <xf numFmtId="44" fontId="26" fillId="0" borderId="0" xfId="1149" applyFont="1" applyBorder="1" applyAlignment="1">
      <alignment wrapText="1"/>
    </xf>
    <xf numFmtId="171" fontId="26" fillId="0" borderId="0" xfId="1149" applyNumberFormat="1" applyFont="1" applyBorder="1" applyAlignment="1">
      <alignment wrapText="1"/>
    </xf>
    <xf numFmtId="0" fontId="21" fillId="0" borderId="2" xfId="0" applyFont="1" applyBorder="1" applyAlignment="1">
      <alignment horizontal="center" wrapText="1"/>
    </xf>
    <xf numFmtId="0" fontId="21" fillId="0" borderId="3" xfId="0" applyFont="1" applyBorder="1" applyAlignment="1">
      <alignment horizontal="center" wrapText="1"/>
    </xf>
    <xf numFmtId="0" fontId="21" fillId="0" borderId="2" xfId="0" applyFont="1" applyFill="1" applyBorder="1" applyAlignment="1">
      <alignment horizontal="center" wrapText="1"/>
    </xf>
    <xf numFmtId="0" fontId="21" fillId="0" borderId="3" xfId="0" applyFont="1" applyFill="1" applyBorder="1" applyAlignment="1">
      <alignment horizontal="center" wrapText="1"/>
    </xf>
    <xf numFmtId="0" fontId="21" fillId="0" borderId="24" xfId="0" applyFont="1" applyFill="1" applyBorder="1" applyAlignment="1">
      <alignment horizontal="center" wrapText="1"/>
    </xf>
    <xf numFmtId="171" fontId="0" fillId="0" borderId="0" xfId="1149" applyNumberFormat="1" applyFont="1" applyBorder="1"/>
    <xf numFmtId="171" fontId="0" fillId="0" borderId="0" xfId="1149" applyNumberFormat="1" applyFont="1" applyBorder="1" applyAlignment="1"/>
    <xf numFmtId="0" fontId="0" fillId="0" borderId="0" xfId="0" applyFill="1" applyBorder="1" applyAlignment="1">
      <alignment horizontal="center" wrapText="1"/>
    </xf>
    <xf numFmtId="0" fontId="30" fillId="0" borderId="0" xfId="0" applyFont="1"/>
    <xf numFmtId="0" fontId="30" fillId="0" borderId="0" xfId="0" applyFont="1" applyAlignment="1">
      <alignment horizontal="right"/>
    </xf>
    <xf numFmtId="0" fontId="0" fillId="0" borderId="0" xfId="0" applyFont="1" applyBorder="1" applyAlignment="1">
      <alignment horizontal="center" wrapText="1"/>
    </xf>
    <xf numFmtId="0" fontId="21" fillId="0" borderId="0" xfId="0" applyFont="1" applyFill="1" applyBorder="1" applyAlignment="1">
      <alignment horizontal="center" wrapText="1"/>
    </xf>
    <xf numFmtId="171" fontId="6" fillId="0" borderId="0" xfId="1149" applyNumberFormat="1" applyFont="1" applyBorder="1"/>
    <xf numFmtId="165" fontId="0" fillId="0" borderId="0" xfId="0" applyNumberFormat="1" applyBorder="1"/>
    <xf numFmtId="171" fontId="0" fillId="0" borderId="0" xfId="0" applyNumberFormat="1"/>
    <xf numFmtId="0" fontId="21" fillId="0" borderId="10" xfId="0" applyFont="1" applyFill="1" applyBorder="1" applyAlignment="1">
      <alignment horizontal="center" wrapText="1"/>
    </xf>
    <xf numFmtId="171" fontId="0" fillId="0" borderId="10" xfId="1149" applyNumberFormat="1" applyFont="1" applyBorder="1" applyAlignment="1"/>
    <xf numFmtId="0" fontId="0" fillId="0" borderId="0" xfId="0" applyAlignment="1">
      <alignment wrapText="1"/>
    </xf>
    <xf numFmtId="0" fontId="20" fillId="0" borderId="0" xfId="0" applyFont="1" applyAlignment="1"/>
    <xf numFmtId="0" fontId="0" fillId="0" borderId="18" xfId="0" applyBorder="1" applyAlignment="1">
      <alignment horizontal="center"/>
    </xf>
    <xf numFmtId="44" fontId="0" fillId="0" borderId="0" xfId="1149" applyNumberFormat="1" applyFont="1"/>
    <xf numFmtId="44" fontId="0" fillId="0" borderId="18" xfId="0" applyNumberFormat="1" applyBorder="1"/>
    <xf numFmtId="44" fontId="0" fillId="0" borderId="0" xfId="0" applyNumberFormat="1"/>
    <xf numFmtId="0" fontId="0" fillId="0" borderId="18" xfId="0" applyBorder="1" applyAlignment="1"/>
    <xf numFmtId="44" fontId="0" fillId="0" borderId="0" xfId="1149" applyFont="1" applyAlignment="1">
      <alignment horizontal="right"/>
    </xf>
    <xf numFmtId="0" fontId="6" fillId="0" borderId="18" xfId="0" applyFont="1" applyFill="1" applyBorder="1"/>
    <xf numFmtId="3" fontId="0" fillId="0" borderId="18" xfId="0" applyNumberFormat="1" applyBorder="1"/>
    <xf numFmtId="171" fontId="0" fillId="0" borderId="8" xfId="1149" applyNumberFormat="1" applyFont="1" applyBorder="1"/>
    <xf numFmtId="3" fontId="6" fillId="0" borderId="0" xfId="0" applyNumberFormat="1" applyFont="1" applyBorder="1"/>
    <xf numFmtId="0" fontId="27" fillId="0" borderId="0" xfId="0" applyFont="1" applyBorder="1"/>
    <xf numFmtId="0" fontId="6" fillId="0" borderId="18" xfId="0" applyFont="1" applyBorder="1"/>
    <xf numFmtId="0" fontId="21" fillId="0" borderId="0" xfId="0" applyFont="1" applyBorder="1"/>
    <xf numFmtId="179" fontId="6" fillId="0" borderId="0" xfId="1150" applyNumberFormat="1" applyFont="1" applyBorder="1"/>
    <xf numFmtId="179" fontId="6" fillId="0" borderId="18" xfId="1150" applyNumberFormat="1" applyFont="1" applyBorder="1"/>
    <xf numFmtId="0" fontId="0" fillId="0" borderId="0" xfId="0" applyFill="1" applyBorder="1" applyAlignment="1">
      <alignment horizontal="center"/>
    </xf>
    <xf numFmtId="0" fontId="0" fillId="0" borderId="0" xfId="0" applyFill="1" applyBorder="1" applyAlignment="1">
      <alignment horizontal="left" wrapText="1"/>
    </xf>
    <xf numFmtId="0" fontId="33" fillId="0" borderId="0" xfId="0" applyFont="1" applyFill="1" applyBorder="1"/>
    <xf numFmtId="0" fontId="21" fillId="0" borderId="0" xfId="0" applyFont="1" applyBorder="1" applyAlignment="1">
      <alignment horizontal="center"/>
    </xf>
    <xf numFmtId="0" fontId="4" fillId="0" borderId="0" xfId="350" applyBorder="1" applyAlignment="1">
      <alignment horizontal="center"/>
    </xf>
    <xf numFmtId="0" fontId="21" fillId="0" borderId="0" xfId="0" applyFont="1" applyFill="1" applyBorder="1" applyAlignment="1">
      <alignment horizontal="center"/>
    </xf>
    <xf numFmtId="9" fontId="0" fillId="0" borderId="0" xfId="0" applyNumberFormat="1" applyBorder="1" applyAlignment="1">
      <alignment horizontal="center"/>
    </xf>
    <xf numFmtId="9" fontId="0" fillId="0" borderId="18" xfId="0" applyNumberFormat="1" applyBorder="1" applyAlignment="1">
      <alignment horizontal="center"/>
    </xf>
    <xf numFmtId="0" fontId="4" fillId="0" borderId="0" xfId="350" applyBorder="1" applyAlignment="1">
      <alignment wrapText="1"/>
    </xf>
    <xf numFmtId="0" fontId="0" fillId="0" borderId="0" xfId="0" applyAlignment="1">
      <alignment horizontal="left"/>
    </xf>
    <xf numFmtId="164" fontId="0" fillId="0" borderId="0" xfId="0" applyNumberFormat="1" applyBorder="1" applyAlignment="1">
      <alignment horizontal="center" wrapText="1"/>
    </xf>
    <xf numFmtId="165" fontId="0" fillId="0" borderId="0" xfId="0" applyNumberFormat="1" applyBorder="1" applyAlignment="1">
      <alignment horizontal="center" wrapText="1"/>
    </xf>
    <xf numFmtId="0" fontId="0" fillId="0" borderId="46" xfId="0" applyBorder="1"/>
    <xf numFmtId="0" fontId="0" fillId="0" borderId="0" xfId="0" applyBorder="1" applyAlignment="1">
      <alignment horizontal="left" wrapText="1"/>
    </xf>
    <xf numFmtId="164" fontId="0" fillId="0" borderId="0" xfId="0" applyNumberFormat="1" applyBorder="1" applyAlignment="1">
      <alignment horizontal="left" wrapText="1"/>
    </xf>
    <xf numFmtId="168" fontId="0" fillId="0" borderId="0" xfId="0" applyNumberFormat="1" applyAlignment="1">
      <alignment horizontal="right"/>
    </xf>
    <xf numFmtId="4" fontId="0" fillId="0" borderId="0" xfId="0" applyNumberFormat="1" applyAlignment="1">
      <alignment horizontal="right"/>
    </xf>
    <xf numFmtId="5" fontId="0" fillId="0" borderId="0" xfId="1149" applyNumberFormat="1" applyFont="1" applyFill="1" applyBorder="1"/>
    <xf numFmtId="0" fontId="0" fillId="0" borderId="0" xfId="0" applyAlignment="1">
      <alignment horizontal="center" wrapText="1"/>
    </xf>
    <xf numFmtId="0" fontId="0" fillId="0" borderId="0" xfId="0" applyAlignment="1">
      <alignment wrapText="1"/>
    </xf>
    <xf numFmtId="0" fontId="0" fillId="0" borderId="0" xfId="0" applyBorder="1" applyAlignment="1">
      <alignment horizontal="center" wrapText="1"/>
    </xf>
    <xf numFmtId="0" fontId="0" fillId="0" borderId="0" xfId="0" applyAlignment="1">
      <alignment horizontal="left"/>
    </xf>
    <xf numFmtId="0" fontId="0" fillId="0" borderId="0" xfId="0" applyAlignment="1">
      <alignment horizontal="left" wrapText="1"/>
    </xf>
    <xf numFmtId="0" fontId="0" fillId="0" borderId="0" xfId="0" applyAlignment="1"/>
    <xf numFmtId="0" fontId="0" fillId="0" borderId="0" xfId="0" applyAlignment="1">
      <alignment horizontal="center"/>
    </xf>
    <xf numFmtId="0" fontId="0" fillId="0" borderId="0" xfId="1150" applyNumberFormat="1" applyFont="1" applyBorder="1" applyAlignment="1">
      <alignment horizontal="center"/>
    </xf>
    <xf numFmtId="0" fontId="26" fillId="0" borderId="0" xfId="0" applyFont="1" applyAlignment="1">
      <alignment horizontal="center" wrapText="1"/>
    </xf>
    <xf numFmtId="0" fontId="4" fillId="0" borderId="0" xfId="350" quotePrefix="1" applyAlignment="1">
      <alignment horizontal="left" indent="1"/>
    </xf>
    <xf numFmtId="0" fontId="30" fillId="0" borderId="0" xfId="0" applyFont="1" applyAlignment="1">
      <alignment wrapText="1"/>
    </xf>
    <xf numFmtId="0" fontId="30" fillId="0" borderId="0" xfId="0" applyFont="1" applyBorder="1"/>
    <xf numFmtId="0" fontId="36" fillId="0" borderId="0" xfId="0" applyFont="1"/>
    <xf numFmtId="0" fontId="22" fillId="0" borderId="0" xfId="0" applyFont="1" applyAlignment="1">
      <alignment horizontal="left"/>
    </xf>
    <xf numFmtId="0" fontId="37" fillId="0" borderId="0" xfId="0" applyFont="1" applyAlignment="1">
      <alignment horizontal="center"/>
    </xf>
    <xf numFmtId="0" fontId="36" fillId="0" borderId="0" xfId="0" applyFont="1" applyAlignment="1">
      <alignment horizontal="center"/>
    </xf>
    <xf numFmtId="0" fontId="37" fillId="0" borderId="0" xfId="0" applyFont="1"/>
    <xf numFmtId="0" fontId="37" fillId="0" borderId="0" xfId="0" applyFont="1" applyFill="1" applyAlignment="1">
      <alignment horizontal="center"/>
    </xf>
    <xf numFmtId="164" fontId="0" fillId="0" borderId="0" xfId="0" applyNumberFormat="1" applyFill="1"/>
    <xf numFmtId="0" fontId="38" fillId="0" borderId="0" xfId="0" applyFont="1"/>
    <xf numFmtId="0" fontId="0" fillId="0" borderId="0" xfId="0" applyAlignment="1">
      <alignment horizontal="left" indent="2"/>
    </xf>
    <xf numFmtId="0" fontId="0" fillId="0" borderId="10" xfId="0" applyFill="1" applyBorder="1" applyAlignment="1">
      <alignment horizontal="center" wrapText="1"/>
    </xf>
    <xf numFmtId="43" fontId="0" fillId="0" borderId="10" xfId="1150" applyFont="1" applyBorder="1" applyAlignment="1">
      <alignment horizontal="center"/>
    </xf>
    <xf numFmtId="164" fontId="0" fillId="0" borderId="0" xfId="0" applyNumberFormat="1" applyFill="1" applyBorder="1" applyAlignment="1">
      <alignment horizontal="center" wrapText="1"/>
    </xf>
    <xf numFmtId="0" fontId="0" fillId="0" borderId="0" xfId="0" applyAlignment="1">
      <alignment vertical="top" wrapText="1"/>
    </xf>
    <xf numFmtId="3" fontId="0" fillId="0" borderId="0" xfId="0" applyNumberFormat="1" applyAlignment="1">
      <alignment horizontal="center"/>
    </xf>
    <xf numFmtId="3" fontId="0" fillId="0" borderId="0" xfId="0" applyNumberFormat="1" applyFont="1" applyFill="1" applyBorder="1" applyAlignment="1" applyProtection="1">
      <alignment horizontal="center" vertical="center"/>
    </xf>
    <xf numFmtId="0" fontId="0" fillId="0" borderId="0" xfId="0" applyNumberFormat="1" applyFont="1" applyFill="1" applyBorder="1" applyAlignment="1" applyProtection="1">
      <alignment horizontal="center" vertical="center"/>
    </xf>
    <xf numFmtId="0" fontId="39" fillId="0" borderId="0" xfId="0" applyFont="1" applyAlignment="1">
      <alignment horizontal="center" vertical="center" wrapText="1"/>
    </xf>
    <xf numFmtId="165" fontId="0" fillId="0" borderId="0" xfId="1148" applyNumberFormat="1" applyFont="1"/>
    <xf numFmtId="165" fontId="0" fillId="0" borderId="0" xfId="1148" applyNumberFormat="1" applyFont="1" applyAlignment="1">
      <alignment horizontal="center"/>
    </xf>
    <xf numFmtId="171" fontId="0" fillId="0" borderId="0" xfId="1149" applyNumberFormat="1" applyFont="1" applyAlignment="1"/>
    <xf numFmtId="0" fontId="0" fillId="0" borderId="0" xfId="0" applyBorder="1" applyAlignment="1">
      <alignment horizontal="left" vertical="top" wrapText="1"/>
    </xf>
    <xf numFmtId="171" fontId="0" fillId="0" borderId="18" xfId="0" applyNumberFormat="1" applyBorder="1"/>
    <xf numFmtId="0" fontId="0" fillId="0" borderId="0" xfId="0" applyAlignment="1">
      <alignment wrapText="1"/>
    </xf>
    <xf numFmtId="0" fontId="0" fillId="0" borderId="0" xfId="0"/>
    <xf numFmtId="0" fontId="0" fillId="0" borderId="0" xfId="0" applyAlignment="1">
      <alignment horizontal="center" wrapText="1"/>
    </xf>
    <xf numFmtId="0" fontId="0" fillId="0" borderId="0" xfId="0" applyAlignment="1">
      <alignment wrapText="1"/>
    </xf>
    <xf numFmtId="0" fontId="0" fillId="0" borderId="0" xfId="0"/>
    <xf numFmtId="0" fontId="0" fillId="0" borderId="0" xfId="0" applyAlignment="1">
      <alignment horizontal="center" wrapText="1"/>
    </xf>
    <xf numFmtId="0" fontId="0" fillId="0" borderId="0" xfId="0"/>
    <xf numFmtId="0" fontId="0" fillId="0" borderId="0" xfId="0" applyBorder="1" applyAlignment="1">
      <alignment horizontal="center" wrapText="1"/>
    </xf>
    <xf numFmtId="0" fontId="0" fillId="0" borderId="0" xfId="0" applyBorder="1" applyAlignment="1">
      <alignment wrapText="1"/>
    </xf>
    <xf numFmtId="171" fontId="26" fillId="0" borderId="0" xfId="1149" applyNumberFormat="1" applyFont="1" applyBorder="1" applyAlignment="1">
      <alignment horizontal="center" wrapText="1"/>
    </xf>
    <xf numFmtId="171" fontId="26" fillId="0" borderId="0" xfId="1149" applyNumberFormat="1" applyFont="1" applyFill="1" applyBorder="1" applyAlignment="1">
      <alignment horizontal="center" wrapText="1"/>
    </xf>
    <xf numFmtId="171" fontId="0" fillId="0" borderId="0" xfId="0" applyNumberFormat="1" applyAlignment="1">
      <alignment wrapText="1"/>
    </xf>
    <xf numFmtId="44" fontId="26" fillId="0" borderId="0" xfId="1149" applyFont="1" applyBorder="1" applyAlignment="1">
      <alignment horizontal="center" wrapText="1"/>
    </xf>
    <xf numFmtId="165" fontId="0" fillId="0" borderId="0" xfId="0" applyNumberFormat="1" applyBorder="1" applyAlignment="1">
      <alignment horizontal="right"/>
    </xf>
    <xf numFmtId="0" fontId="0" fillId="0" borderId="0" xfId="0" applyAlignment="1">
      <alignment wrapText="1"/>
    </xf>
    <xf numFmtId="0" fontId="0" fillId="0" borderId="0" xfId="0" applyAlignment="1"/>
    <xf numFmtId="0" fontId="0" fillId="0" borderId="0" xfId="0"/>
    <xf numFmtId="0" fontId="0" fillId="0" borderId="0" xfId="0"/>
    <xf numFmtId="171" fontId="0" fillId="0" borderId="0" xfId="0" applyNumberFormat="1" applyBorder="1"/>
    <xf numFmtId="171" fontId="0" fillId="0" borderId="0" xfId="1149" applyNumberFormat="1" applyFont="1" applyFill="1" applyBorder="1"/>
    <xf numFmtId="171" fontId="0" fillId="0" borderId="0" xfId="1149" applyNumberFormat="1" applyFont="1" applyFill="1" applyBorder="1" applyAlignment="1"/>
    <xf numFmtId="171" fontId="0" fillId="0" borderId="10" xfId="1149" applyNumberFormat="1" applyFont="1" applyFill="1" applyBorder="1" applyAlignment="1"/>
    <xf numFmtId="43" fontId="0" fillId="0" borderId="10" xfId="1150" applyFont="1" applyFill="1" applyBorder="1" applyAlignment="1">
      <alignment horizontal="center"/>
    </xf>
    <xf numFmtId="0" fontId="0" fillId="0" borderId="0" xfId="0"/>
    <xf numFmtId="0" fontId="0" fillId="0" borderId="0" xfId="0"/>
    <xf numFmtId="0" fontId="0" fillId="0" borderId="0" xfId="0" applyAlignment="1">
      <alignment horizontal="center"/>
    </xf>
    <xf numFmtId="0" fontId="0" fillId="0" borderId="0" xfId="0" applyBorder="1" applyAlignment="1">
      <alignment vertical="top" wrapText="1"/>
    </xf>
    <xf numFmtId="44" fontId="0" fillId="0" borderId="18" xfId="1149" applyFont="1" applyBorder="1"/>
    <xf numFmtId="44" fontId="0" fillId="0" borderId="10" xfId="1149" applyFont="1" applyBorder="1"/>
    <xf numFmtId="44" fontId="0" fillId="0" borderId="8" xfId="1149" applyFont="1" applyBorder="1"/>
    <xf numFmtId="9" fontId="0" fillId="0" borderId="18" xfId="1148" applyFont="1" applyBorder="1" applyAlignment="1">
      <alignment horizontal="center"/>
    </xf>
    <xf numFmtId="9" fontId="0" fillId="0" borderId="10" xfId="1148" applyFont="1" applyBorder="1" applyAlignment="1">
      <alignment horizontal="center"/>
    </xf>
    <xf numFmtId="9" fontId="0" fillId="0" borderId="8" xfId="1148" applyFont="1" applyBorder="1" applyAlignment="1">
      <alignment horizontal="center"/>
    </xf>
    <xf numFmtId="0" fontId="0" fillId="0" borderId="0" xfId="0" applyAlignment="1">
      <alignment horizontal="center"/>
    </xf>
    <xf numFmtId="164" fontId="0" fillId="0" borderId="10" xfId="0" applyNumberFormat="1" applyBorder="1" applyAlignment="1">
      <alignment horizontal="center" wrapText="1"/>
    </xf>
    <xf numFmtId="0" fontId="0" fillId="0" borderId="0" xfId="0" applyAlignment="1">
      <alignment wrapText="1"/>
    </xf>
    <xf numFmtId="0" fontId="0" fillId="0" borderId="0" xfId="0" applyBorder="1" applyAlignment="1">
      <alignment wrapText="1"/>
    </xf>
    <xf numFmtId="0" fontId="0" fillId="0" borderId="0" xfId="0" applyAlignment="1">
      <alignment vertical="top" wrapText="1"/>
    </xf>
    <xf numFmtId="0" fontId="0" fillId="0" borderId="0" xfId="0"/>
    <xf numFmtId="0" fontId="0" fillId="0" borderId="0" xfId="0" applyAlignment="1">
      <alignment vertical="top" wrapText="1"/>
    </xf>
    <xf numFmtId="0" fontId="0" fillId="0" borderId="0" xfId="0"/>
    <xf numFmtId="0" fontId="0" fillId="0" borderId="0" xfId="0" applyFont="1" applyBorder="1" applyAlignment="1">
      <alignment wrapText="1"/>
    </xf>
    <xf numFmtId="0" fontId="41" fillId="0" borderId="0" xfId="0" applyFont="1" applyAlignment="1">
      <alignment vertical="center"/>
    </xf>
    <xf numFmtId="0" fontId="21" fillId="0" borderId="0" xfId="0" applyFont="1" applyBorder="1" applyAlignment="1">
      <alignment wrapText="1"/>
    </xf>
    <xf numFmtId="0" fontId="0" fillId="0" borderId="0" xfId="0" applyFill="1" applyBorder="1" applyAlignment="1">
      <alignment vertical="top" wrapText="1"/>
    </xf>
    <xf numFmtId="0" fontId="0" fillId="0" borderId="0" xfId="0" applyAlignment="1">
      <alignment wrapText="1"/>
    </xf>
    <xf numFmtId="0" fontId="0" fillId="0" borderId="0" xfId="0"/>
    <xf numFmtId="0" fontId="0" fillId="0" borderId="0" xfId="0" applyBorder="1" applyAlignment="1">
      <alignment horizontal="left" vertical="top" wrapText="1"/>
    </xf>
    <xf numFmtId="165" fontId="0" fillId="0" borderId="0" xfId="0" applyNumberFormat="1" applyAlignment="1">
      <alignment wrapText="1"/>
    </xf>
    <xf numFmtId="171" fontId="0" fillId="0" borderId="0" xfId="1149" applyNumberFormat="1" applyFont="1" applyBorder="1" applyAlignment="1">
      <alignment horizontal="center" wrapText="1"/>
    </xf>
    <xf numFmtId="171" fontId="40" fillId="0" borderId="0" xfId="1149" applyNumberFormat="1" applyFont="1" applyBorder="1" applyAlignment="1">
      <alignment horizontal="center" wrapText="1"/>
    </xf>
    <xf numFmtId="171" fontId="40" fillId="0" borderId="0" xfId="1149" applyNumberFormat="1" applyFont="1" applyFill="1" applyBorder="1" applyAlignment="1">
      <alignment horizontal="center" wrapText="1"/>
    </xf>
    <xf numFmtId="171" fontId="0" fillId="0" borderId="0" xfId="1149" applyNumberFormat="1" applyFont="1" applyAlignment="1">
      <alignment wrapText="1"/>
    </xf>
    <xf numFmtId="0" fontId="0" fillId="0" borderId="0" xfId="0" applyAlignment="1">
      <alignment horizontal="center" wrapText="1"/>
    </xf>
    <xf numFmtId="0" fontId="0" fillId="0" borderId="0" xfId="0" applyAlignment="1">
      <alignment wrapText="1"/>
    </xf>
    <xf numFmtId="0" fontId="6" fillId="0" borderId="0" xfId="0" applyFont="1" applyAlignment="1">
      <alignment horizontal="center" wrapText="1"/>
    </xf>
    <xf numFmtId="0" fontId="0" fillId="0" borderId="0" xfId="0" applyBorder="1" applyAlignment="1">
      <alignment horizontal="center" wrapText="1"/>
    </xf>
    <xf numFmtId="0" fontId="0" fillId="0" borderId="0" xfId="0" applyBorder="1" applyAlignment="1">
      <alignment wrapText="1"/>
    </xf>
    <xf numFmtId="0" fontId="0" fillId="0" borderId="0" xfId="0" applyAlignment="1">
      <alignment horizontal="center" vertical="center" wrapText="1"/>
    </xf>
    <xf numFmtId="0" fontId="0" fillId="0" borderId="0" xfId="0" applyAlignment="1">
      <alignment horizontal="left" vertical="top" wrapText="1"/>
    </xf>
    <xf numFmtId="0" fontId="0" fillId="0" borderId="46" xfId="0" applyBorder="1" applyAlignment="1">
      <alignment horizontal="center" wrapText="1"/>
    </xf>
    <xf numFmtId="0" fontId="0" fillId="0" borderId="0" xfId="0" applyBorder="1" applyAlignment="1">
      <alignment horizontal="left" wrapText="1"/>
    </xf>
    <xf numFmtId="0" fontId="0" fillId="0" borderId="0" xfId="0" applyAlignment="1">
      <alignment horizontal="left"/>
    </xf>
    <xf numFmtId="0" fontId="14" fillId="0" borderId="47" xfId="0" applyFont="1" applyBorder="1" applyAlignment="1">
      <alignment horizontal="center"/>
    </xf>
    <xf numFmtId="0" fontId="14" fillId="0" borderId="48" xfId="0" applyFont="1" applyBorder="1" applyAlignment="1">
      <alignment horizontal="center"/>
    </xf>
    <xf numFmtId="0" fontId="14" fillId="0" borderId="49" xfId="0" applyFont="1" applyBorder="1" applyAlignment="1">
      <alignment horizontal="center"/>
    </xf>
    <xf numFmtId="0" fontId="14" fillId="0" borderId="48" xfId="0" applyFont="1" applyBorder="1" applyAlignment="1"/>
    <xf numFmtId="0" fontId="14" fillId="0" borderId="49" xfId="0" applyFont="1" applyBorder="1" applyAlignment="1"/>
    <xf numFmtId="0" fontId="0" fillId="0" borderId="0" xfId="0" applyAlignment="1">
      <alignment horizontal="left" wrapText="1"/>
    </xf>
    <xf numFmtId="0" fontId="8" fillId="0" borderId="0" xfId="0" applyFont="1" applyAlignment="1"/>
    <xf numFmtId="0" fontId="0" fillId="0" borderId="0" xfId="0" applyAlignment="1"/>
    <xf numFmtId="0" fontId="21" fillId="0" borderId="0" xfId="0" applyFont="1" applyAlignment="1">
      <alignment horizontal="left" wrapText="1"/>
    </xf>
    <xf numFmtId="0" fontId="0" fillId="0" borderId="0" xfId="0" applyAlignment="1">
      <alignment horizontal="left" wrapText="1" indent="1"/>
    </xf>
    <xf numFmtId="0" fontId="9" fillId="0" borderId="0" xfId="0" applyFont="1" applyAlignment="1">
      <alignment horizontal="left" wrapText="1"/>
    </xf>
    <xf numFmtId="0" fontId="0" fillId="0" borderId="0" xfId="0" applyFont="1" applyAlignment="1">
      <alignment horizontal="left" wrapText="1"/>
    </xf>
    <xf numFmtId="0" fontId="22" fillId="0" borderId="0" xfId="0" applyFont="1" applyAlignment="1">
      <alignment horizontal="left" wrapText="1"/>
    </xf>
    <xf numFmtId="0" fontId="6" fillId="0" borderId="0" xfId="0" applyFont="1" applyAlignment="1">
      <alignment horizontal="left" wrapText="1"/>
    </xf>
    <xf numFmtId="0" fontId="0" fillId="0" borderId="0" xfId="0" applyAlignment="1">
      <alignment vertical="top" wrapText="1"/>
    </xf>
    <xf numFmtId="0" fontId="0" fillId="0" borderId="0" xfId="0" applyFont="1" applyAlignment="1">
      <alignment vertical="top" wrapText="1"/>
    </xf>
    <xf numFmtId="0" fontId="0" fillId="0" borderId="0" xfId="0"/>
    <xf numFmtId="0" fontId="0" fillId="0" borderId="0" xfId="0" applyBorder="1" applyAlignment="1">
      <alignment horizontal="left" vertical="top" wrapText="1"/>
    </xf>
    <xf numFmtId="0" fontId="0" fillId="0" borderId="0" xfId="0" applyBorder="1" applyAlignment="1">
      <alignment horizontal="left" vertical="top"/>
    </xf>
    <xf numFmtId="0" fontId="28" fillId="0" borderId="0" xfId="0" applyFont="1" applyAlignment="1">
      <alignment horizontal="left" wrapText="1"/>
    </xf>
    <xf numFmtId="0" fontId="0" fillId="0" borderId="0" xfId="0" applyAlignment="1">
      <alignment horizontal="left" vertical="top"/>
    </xf>
    <xf numFmtId="0" fontId="0" fillId="0" borderId="0" xfId="0" applyBorder="1" applyAlignment="1">
      <alignment horizontal="center"/>
    </xf>
    <xf numFmtId="0" fontId="0" fillId="0" borderId="42" xfId="0" applyBorder="1" applyAlignment="1">
      <alignment wrapText="1"/>
    </xf>
    <xf numFmtId="0" fontId="0" fillId="0" borderId="43" xfId="0" applyBorder="1" applyAlignment="1">
      <alignment wrapText="1"/>
    </xf>
    <xf numFmtId="0" fontId="0" fillId="0" borderId="41" xfId="0" applyBorder="1" applyAlignment="1">
      <alignment wrapText="1"/>
    </xf>
    <xf numFmtId="0" fontId="0" fillId="0" borderId="0" xfId="0" applyAlignment="1">
      <alignment horizontal="center"/>
    </xf>
    <xf numFmtId="0" fontId="6" fillId="0" borderId="0" xfId="0" applyFont="1" applyFill="1" applyBorder="1" applyAlignment="1">
      <alignment horizontal="left" wrapText="1"/>
    </xf>
    <xf numFmtId="0" fontId="0" fillId="0" borderId="0" xfId="0" applyFill="1" applyBorder="1" applyAlignment="1">
      <alignment horizontal="left" wrapText="1"/>
    </xf>
    <xf numFmtId="0" fontId="34" fillId="0" borderId="0" xfId="0" applyFont="1" applyAlignment="1">
      <alignment wrapText="1"/>
    </xf>
    <xf numFmtId="0" fontId="0" fillId="0" borderId="0" xfId="0" applyFont="1" applyAlignment="1">
      <alignment horizontal="left" vertical="top" wrapText="1"/>
    </xf>
  </cellXfs>
  <cellStyles count="1161">
    <cellStyle name="Comma" xfId="1150" builtinId="3"/>
    <cellStyle name="Currency" xfId="1149" builtinId="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7" builtinId="9" hidden="1"/>
    <cellStyle name="Followed Hyperlink" xfId="59" builtinId="9" hidden="1"/>
    <cellStyle name="Followed Hyperlink" xfId="61" builtinId="9" hidden="1"/>
    <cellStyle name="Followed Hyperlink" xfId="63" builtinId="9" hidden="1"/>
    <cellStyle name="Followed Hyperlink" xfId="65" builtinId="9" hidden="1"/>
    <cellStyle name="Followed Hyperlink" xfId="67" builtinId="9" hidden="1"/>
    <cellStyle name="Followed Hyperlink" xfId="69" builtinId="9" hidden="1"/>
    <cellStyle name="Followed Hyperlink" xfId="71" builtinId="9" hidden="1"/>
    <cellStyle name="Followed Hyperlink" xfId="73" builtinId="9" hidden="1"/>
    <cellStyle name="Followed Hyperlink" xfId="75" builtinId="9" hidden="1"/>
    <cellStyle name="Followed Hyperlink" xfId="77" builtinId="9" hidden="1"/>
    <cellStyle name="Followed Hyperlink" xfId="79" builtinId="9" hidden="1"/>
    <cellStyle name="Followed Hyperlink" xfId="81" builtinId="9" hidden="1"/>
    <cellStyle name="Followed Hyperlink" xfId="83" builtinId="9" hidden="1"/>
    <cellStyle name="Followed Hyperlink" xfId="85" builtinId="9" hidden="1"/>
    <cellStyle name="Followed Hyperlink" xfId="87" builtinId="9" hidden="1"/>
    <cellStyle name="Followed Hyperlink" xfId="89" builtinId="9" hidden="1"/>
    <cellStyle name="Followed Hyperlink" xfId="91" builtinId="9" hidden="1"/>
    <cellStyle name="Followed Hyperlink" xfId="93" builtinId="9" hidden="1"/>
    <cellStyle name="Followed Hyperlink" xfId="95" builtinId="9" hidden="1"/>
    <cellStyle name="Followed Hyperlink" xfId="97" builtinId="9" hidden="1"/>
    <cellStyle name="Followed Hyperlink" xfId="99" builtinId="9" hidden="1"/>
    <cellStyle name="Followed Hyperlink" xfId="101" builtinId="9" hidden="1"/>
    <cellStyle name="Followed Hyperlink" xfId="103" builtinId="9" hidden="1"/>
    <cellStyle name="Followed Hyperlink" xfId="105" builtinId="9" hidden="1"/>
    <cellStyle name="Followed Hyperlink" xfId="107" builtinId="9" hidden="1"/>
    <cellStyle name="Followed Hyperlink" xfId="109" builtinId="9" hidden="1"/>
    <cellStyle name="Followed Hyperlink" xfId="111" builtinId="9" hidden="1"/>
    <cellStyle name="Followed Hyperlink" xfId="113" builtinId="9" hidden="1"/>
    <cellStyle name="Followed Hyperlink" xfId="115" builtinId="9" hidden="1"/>
    <cellStyle name="Followed Hyperlink" xfId="117" builtinId="9" hidden="1"/>
    <cellStyle name="Followed Hyperlink" xfId="119" builtinId="9" hidden="1"/>
    <cellStyle name="Followed Hyperlink" xfId="121" builtinId="9" hidden="1"/>
    <cellStyle name="Followed Hyperlink" xfId="123" builtinId="9" hidden="1"/>
    <cellStyle name="Followed Hyperlink" xfId="125" builtinId="9" hidden="1"/>
    <cellStyle name="Followed Hyperlink" xfId="127" builtinId="9" hidden="1"/>
    <cellStyle name="Followed Hyperlink" xfId="129" builtinId="9" hidden="1"/>
    <cellStyle name="Followed Hyperlink" xfId="131" builtinId="9" hidden="1"/>
    <cellStyle name="Followed Hyperlink" xfId="133" builtinId="9" hidden="1"/>
    <cellStyle name="Followed Hyperlink" xfId="135" builtinId="9" hidden="1"/>
    <cellStyle name="Followed Hyperlink" xfId="137" builtinId="9" hidden="1"/>
    <cellStyle name="Followed Hyperlink" xfId="139" builtinId="9" hidden="1"/>
    <cellStyle name="Followed Hyperlink" xfId="141" builtinId="9" hidden="1"/>
    <cellStyle name="Followed Hyperlink" xfId="143" builtinId="9" hidden="1"/>
    <cellStyle name="Followed Hyperlink" xfId="145" builtinId="9" hidden="1"/>
    <cellStyle name="Followed Hyperlink" xfId="147" builtinId="9" hidden="1"/>
    <cellStyle name="Followed Hyperlink" xfId="149" builtinId="9" hidden="1"/>
    <cellStyle name="Followed Hyperlink" xfId="151" builtinId="9" hidden="1"/>
    <cellStyle name="Followed Hyperlink" xfId="153" builtinId="9" hidden="1"/>
    <cellStyle name="Followed Hyperlink" xfId="155" builtinId="9" hidden="1"/>
    <cellStyle name="Followed Hyperlink" xfId="157" builtinId="9" hidden="1"/>
    <cellStyle name="Followed Hyperlink" xfId="159" builtinId="9" hidden="1"/>
    <cellStyle name="Followed Hyperlink" xfId="161" builtinId="9" hidden="1"/>
    <cellStyle name="Followed Hyperlink" xfId="163" builtinId="9" hidden="1"/>
    <cellStyle name="Followed Hyperlink" xfId="165" builtinId="9" hidden="1"/>
    <cellStyle name="Followed Hyperlink" xfId="167" builtinId="9" hidden="1"/>
    <cellStyle name="Followed Hyperlink" xfId="169" builtinId="9" hidden="1"/>
    <cellStyle name="Followed Hyperlink" xfId="171" builtinId="9" hidden="1"/>
    <cellStyle name="Followed Hyperlink" xfId="173" builtinId="9" hidden="1"/>
    <cellStyle name="Followed Hyperlink" xfId="175" builtinId="9" hidden="1"/>
    <cellStyle name="Followed Hyperlink" xfId="177" builtinId="9" hidden="1"/>
    <cellStyle name="Followed Hyperlink" xfId="179" builtinId="9" hidden="1"/>
    <cellStyle name="Followed Hyperlink" xfId="181" builtinId="9" hidden="1"/>
    <cellStyle name="Followed Hyperlink" xfId="183" builtinId="9" hidden="1"/>
    <cellStyle name="Followed Hyperlink" xfId="185" builtinId="9" hidden="1"/>
    <cellStyle name="Followed Hyperlink" xfId="187" builtinId="9" hidden="1"/>
    <cellStyle name="Followed Hyperlink" xfId="189" builtinId="9" hidden="1"/>
    <cellStyle name="Followed Hyperlink" xfId="191" builtinId="9" hidden="1"/>
    <cellStyle name="Followed Hyperlink" xfId="193" builtinId="9" hidden="1"/>
    <cellStyle name="Followed Hyperlink" xfId="195" builtinId="9" hidden="1"/>
    <cellStyle name="Followed Hyperlink" xfId="197" builtinId="9" hidden="1"/>
    <cellStyle name="Followed Hyperlink" xfId="199" builtinId="9" hidden="1"/>
    <cellStyle name="Followed Hyperlink" xfId="201" builtinId="9" hidden="1"/>
    <cellStyle name="Followed Hyperlink" xfId="203" builtinId="9" hidden="1"/>
    <cellStyle name="Followed Hyperlink" xfId="205" builtinId="9" hidden="1"/>
    <cellStyle name="Followed Hyperlink" xfId="207" builtinId="9" hidden="1"/>
    <cellStyle name="Followed Hyperlink" xfId="209" builtinId="9" hidden="1"/>
    <cellStyle name="Followed Hyperlink" xfId="211" builtinId="9" hidden="1"/>
    <cellStyle name="Followed Hyperlink" xfId="213" builtinId="9" hidden="1"/>
    <cellStyle name="Followed Hyperlink" xfId="215" builtinId="9" hidden="1"/>
    <cellStyle name="Followed Hyperlink" xfId="217" builtinId="9" hidden="1"/>
    <cellStyle name="Followed Hyperlink" xfId="219" builtinId="9" hidden="1"/>
    <cellStyle name="Followed Hyperlink" xfId="221" builtinId="9" hidden="1"/>
    <cellStyle name="Followed Hyperlink" xfId="223" builtinId="9" hidden="1"/>
    <cellStyle name="Followed Hyperlink" xfId="225" builtinId="9" hidden="1"/>
    <cellStyle name="Followed Hyperlink" xfId="227" builtinId="9" hidden="1"/>
    <cellStyle name="Followed Hyperlink" xfId="229" builtinId="9" hidden="1"/>
    <cellStyle name="Followed Hyperlink" xfId="231" builtinId="9" hidden="1"/>
    <cellStyle name="Followed Hyperlink" xfId="233" builtinId="9" hidden="1"/>
    <cellStyle name="Followed Hyperlink" xfId="235" builtinId="9" hidden="1"/>
    <cellStyle name="Followed Hyperlink" xfId="237" builtinId="9" hidden="1"/>
    <cellStyle name="Followed Hyperlink" xfId="239" builtinId="9" hidden="1"/>
    <cellStyle name="Followed Hyperlink" xfId="241" builtinId="9" hidden="1"/>
    <cellStyle name="Followed Hyperlink" xfId="243" builtinId="9" hidden="1"/>
    <cellStyle name="Followed Hyperlink" xfId="245" builtinId="9" hidden="1"/>
    <cellStyle name="Followed Hyperlink" xfId="247" builtinId="9" hidden="1"/>
    <cellStyle name="Followed Hyperlink" xfId="249" builtinId="9" hidden="1"/>
    <cellStyle name="Followed Hyperlink" xfId="251" builtinId="9" hidden="1"/>
    <cellStyle name="Followed Hyperlink" xfId="253" builtinId="9" hidden="1"/>
    <cellStyle name="Followed Hyperlink" xfId="255" builtinId="9" hidden="1"/>
    <cellStyle name="Followed Hyperlink" xfId="257" builtinId="9" hidden="1"/>
    <cellStyle name="Followed Hyperlink" xfId="259" builtinId="9" hidden="1"/>
    <cellStyle name="Followed Hyperlink" xfId="261" builtinId="9" hidden="1"/>
    <cellStyle name="Followed Hyperlink" xfId="263" builtinId="9" hidden="1"/>
    <cellStyle name="Followed Hyperlink" xfId="265" builtinId="9" hidden="1"/>
    <cellStyle name="Followed Hyperlink" xfId="267" builtinId="9" hidden="1"/>
    <cellStyle name="Followed Hyperlink" xfId="269" builtinId="9" hidden="1"/>
    <cellStyle name="Followed Hyperlink" xfId="271" builtinId="9" hidden="1"/>
    <cellStyle name="Followed Hyperlink" xfId="273" builtinId="9" hidden="1"/>
    <cellStyle name="Followed Hyperlink" xfId="275" builtinId="9" hidden="1"/>
    <cellStyle name="Followed Hyperlink" xfId="277" builtinId="9" hidden="1"/>
    <cellStyle name="Followed Hyperlink" xfId="279" builtinId="9" hidden="1"/>
    <cellStyle name="Followed Hyperlink" xfId="281" builtinId="9" hidden="1"/>
    <cellStyle name="Followed Hyperlink" xfId="283" builtinId="9" hidden="1"/>
    <cellStyle name="Followed Hyperlink" xfId="285" builtinId="9" hidden="1"/>
    <cellStyle name="Followed Hyperlink" xfId="287" builtinId="9" hidden="1"/>
    <cellStyle name="Followed Hyperlink" xfId="289" builtinId="9" hidden="1"/>
    <cellStyle name="Followed Hyperlink" xfId="291" builtinId="9" hidden="1"/>
    <cellStyle name="Followed Hyperlink" xfId="293" builtinId="9" hidden="1"/>
    <cellStyle name="Followed Hyperlink" xfId="295" builtinId="9" hidden="1"/>
    <cellStyle name="Followed Hyperlink" xfId="297" builtinId="9" hidden="1"/>
    <cellStyle name="Followed Hyperlink" xfId="299" builtinId="9" hidden="1"/>
    <cellStyle name="Followed Hyperlink" xfId="301" builtinId="9" hidden="1"/>
    <cellStyle name="Followed Hyperlink" xfId="303" builtinId="9" hidden="1"/>
    <cellStyle name="Followed Hyperlink" xfId="305" builtinId="9" hidden="1"/>
    <cellStyle name="Followed Hyperlink" xfId="307" builtinId="9" hidden="1"/>
    <cellStyle name="Followed Hyperlink" xfId="309" builtinId="9" hidden="1"/>
    <cellStyle name="Followed Hyperlink" xfId="311" builtinId="9" hidden="1"/>
    <cellStyle name="Followed Hyperlink" xfId="313" builtinId="9" hidden="1"/>
    <cellStyle name="Followed Hyperlink" xfId="315" builtinId="9" hidden="1"/>
    <cellStyle name="Followed Hyperlink" xfId="317" builtinId="9" hidden="1"/>
    <cellStyle name="Followed Hyperlink" xfId="319" builtinId="9" hidden="1"/>
    <cellStyle name="Followed Hyperlink" xfId="321" builtinId="9" hidden="1"/>
    <cellStyle name="Followed Hyperlink" xfId="323" builtinId="9" hidden="1"/>
    <cellStyle name="Followed Hyperlink" xfId="325" builtinId="9" hidden="1"/>
    <cellStyle name="Followed Hyperlink" xfId="327" builtinId="9" hidden="1"/>
    <cellStyle name="Followed Hyperlink" xfId="329" builtinId="9" hidden="1"/>
    <cellStyle name="Followed Hyperlink" xfId="331" builtinId="9" hidden="1"/>
    <cellStyle name="Followed Hyperlink" xfId="333" builtinId="9" hidden="1"/>
    <cellStyle name="Followed Hyperlink" xfId="335" builtinId="9" hidden="1"/>
    <cellStyle name="Followed Hyperlink" xfId="337" builtinId="9" hidden="1"/>
    <cellStyle name="Followed Hyperlink" xfId="339" builtinId="9" hidden="1"/>
    <cellStyle name="Followed Hyperlink" xfId="341" builtinId="9" hidden="1"/>
    <cellStyle name="Followed Hyperlink" xfId="343" builtinId="9" hidden="1"/>
    <cellStyle name="Followed Hyperlink" xfId="345" builtinId="9" hidden="1"/>
    <cellStyle name="Followed Hyperlink" xfId="347" builtinId="9" hidden="1"/>
    <cellStyle name="Followed Hyperlink" xfId="349" builtinId="9" hidden="1"/>
    <cellStyle name="Followed Hyperlink" xfId="351" builtinId="9" hidden="1"/>
    <cellStyle name="Followed Hyperlink" xfId="352" builtinId="9" hidden="1"/>
    <cellStyle name="Followed Hyperlink" xfId="353" builtinId="9" hidden="1"/>
    <cellStyle name="Followed Hyperlink" xfId="354" builtinId="9" hidden="1"/>
    <cellStyle name="Followed Hyperlink" xfId="355" builtinId="9" hidden="1"/>
    <cellStyle name="Followed Hyperlink" xfId="356" builtinId="9" hidden="1"/>
    <cellStyle name="Followed Hyperlink" xfId="357" builtinId="9" hidden="1"/>
    <cellStyle name="Followed Hyperlink" xfId="358" builtinId="9" hidden="1"/>
    <cellStyle name="Followed Hyperlink" xfId="359" builtinId="9" hidden="1"/>
    <cellStyle name="Followed Hyperlink" xfId="360" builtinId="9" hidden="1"/>
    <cellStyle name="Followed Hyperlink" xfId="361" builtinId="9" hidden="1"/>
    <cellStyle name="Followed Hyperlink" xfId="362" builtinId="9" hidden="1"/>
    <cellStyle name="Followed Hyperlink" xfId="363" builtinId="9" hidden="1"/>
    <cellStyle name="Followed Hyperlink" xfId="364" builtinId="9" hidden="1"/>
    <cellStyle name="Followed Hyperlink" xfId="365" builtinId="9" hidden="1"/>
    <cellStyle name="Followed Hyperlink" xfId="366" builtinId="9" hidden="1"/>
    <cellStyle name="Followed Hyperlink" xfId="367" builtinId="9" hidden="1"/>
    <cellStyle name="Followed Hyperlink" xfId="368" builtinId="9" hidden="1"/>
    <cellStyle name="Followed Hyperlink" xfId="369" builtinId="9" hidden="1"/>
    <cellStyle name="Followed Hyperlink" xfId="370" builtinId="9" hidden="1"/>
    <cellStyle name="Followed Hyperlink" xfId="371" builtinId="9" hidden="1"/>
    <cellStyle name="Followed Hyperlink" xfId="372" builtinId="9" hidden="1"/>
    <cellStyle name="Followed Hyperlink" xfId="373" builtinId="9" hidden="1"/>
    <cellStyle name="Followed Hyperlink" xfId="374" builtinId="9" hidden="1"/>
    <cellStyle name="Followed Hyperlink" xfId="375" builtinId="9" hidden="1"/>
    <cellStyle name="Followed Hyperlink" xfId="376" builtinId="9" hidden="1"/>
    <cellStyle name="Followed Hyperlink" xfId="377" builtinId="9" hidden="1"/>
    <cellStyle name="Followed Hyperlink" xfId="378" builtinId="9" hidden="1"/>
    <cellStyle name="Followed Hyperlink" xfId="379" builtinId="9" hidden="1"/>
    <cellStyle name="Followed Hyperlink" xfId="380" builtinId="9" hidden="1"/>
    <cellStyle name="Followed Hyperlink" xfId="381" builtinId="9" hidden="1"/>
    <cellStyle name="Followed Hyperlink" xfId="382" builtinId="9" hidden="1"/>
    <cellStyle name="Followed Hyperlink" xfId="383" builtinId="9" hidden="1"/>
    <cellStyle name="Followed Hyperlink" xfId="384" builtinId="9" hidden="1"/>
    <cellStyle name="Followed Hyperlink" xfId="385" builtinId="9" hidden="1"/>
    <cellStyle name="Followed Hyperlink" xfId="386" builtinId="9" hidden="1"/>
    <cellStyle name="Followed Hyperlink" xfId="387" builtinId="9" hidden="1"/>
    <cellStyle name="Followed Hyperlink" xfId="388" builtinId="9" hidden="1"/>
    <cellStyle name="Followed Hyperlink" xfId="389" builtinId="9" hidden="1"/>
    <cellStyle name="Followed Hyperlink" xfId="390" builtinId="9" hidden="1"/>
    <cellStyle name="Followed Hyperlink" xfId="391" builtinId="9" hidden="1"/>
    <cellStyle name="Followed Hyperlink" xfId="392" builtinId="9" hidden="1"/>
    <cellStyle name="Followed Hyperlink" xfId="393" builtinId="9" hidden="1"/>
    <cellStyle name="Followed Hyperlink" xfId="394" builtinId="9" hidden="1"/>
    <cellStyle name="Followed Hyperlink" xfId="395" builtinId="9" hidden="1"/>
    <cellStyle name="Followed Hyperlink" xfId="396" builtinId="9" hidden="1"/>
    <cellStyle name="Followed Hyperlink" xfId="397" builtinId="9" hidden="1"/>
    <cellStyle name="Followed Hyperlink" xfId="398" builtinId="9" hidden="1"/>
    <cellStyle name="Followed Hyperlink" xfId="399" builtinId="9" hidden="1"/>
    <cellStyle name="Followed Hyperlink" xfId="400" builtinId="9" hidden="1"/>
    <cellStyle name="Followed Hyperlink" xfId="401" builtinId="9" hidden="1"/>
    <cellStyle name="Followed Hyperlink" xfId="402" builtinId="9" hidden="1"/>
    <cellStyle name="Followed Hyperlink" xfId="403" builtinId="9" hidden="1"/>
    <cellStyle name="Followed Hyperlink" xfId="404" builtinId="9" hidden="1"/>
    <cellStyle name="Followed Hyperlink" xfId="405" builtinId="9" hidden="1"/>
    <cellStyle name="Followed Hyperlink" xfId="406" builtinId="9" hidden="1"/>
    <cellStyle name="Followed Hyperlink" xfId="407" builtinId="9" hidden="1"/>
    <cellStyle name="Followed Hyperlink" xfId="408" builtinId="9" hidden="1"/>
    <cellStyle name="Followed Hyperlink" xfId="409" builtinId="9" hidden="1"/>
    <cellStyle name="Followed Hyperlink" xfId="410" builtinId="9" hidden="1"/>
    <cellStyle name="Followed Hyperlink" xfId="411" builtinId="9" hidden="1"/>
    <cellStyle name="Followed Hyperlink" xfId="412" builtinId="9" hidden="1"/>
    <cellStyle name="Followed Hyperlink" xfId="413" builtinId="9" hidden="1"/>
    <cellStyle name="Followed Hyperlink" xfId="414" builtinId="9" hidden="1"/>
    <cellStyle name="Followed Hyperlink" xfId="415" builtinId="9" hidden="1"/>
    <cellStyle name="Followed Hyperlink" xfId="416" builtinId="9" hidden="1"/>
    <cellStyle name="Followed Hyperlink" xfId="417" builtinId="9" hidden="1"/>
    <cellStyle name="Followed Hyperlink" xfId="418" builtinId="9" hidden="1"/>
    <cellStyle name="Followed Hyperlink" xfId="419" builtinId="9" hidden="1"/>
    <cellStyle name="Followed Hyperlink" xfId="420" builtinId="9" hidden="1"/>
    <cellStyle name="Followed Hyperlink" xfId="421" builtinId="9" hidden="1"/>
    <cellStyle name="Followed Hyperlink" xfId="422" builtinId="9" hidden="1"/>
    <cellStyle name="Followed Hyperlink" xfId="423" builtinId="9" hidden="1"/>
    <cellStyle name="Followed Hyperlink" xfId="424" builtinId="9" hidden="1"/>
    <cellStyle name="Followed Hyperlink" xfId="425" builtinId="9" hidden="1"/>
    <cellStyle name="Followed Hyperlink" xfId="426" builtinId="9" hidden="1"/>
    <cellStyle name="Followed Hyperlink" xfId="427" builtinId="9" hidden="1"/>
    <cellStyle name="Followed Hyperlink" xfId="428" builtinId="9" hidden="1"/>
    <cellStyle name="Followed Hyperlink" xfId="429" builtinId="9" hidden="1"/>
    <cellStyle name="Followed Hyperlink" xfId="430" builtinId="9" hidden="1"/>
    <cellStyle name="Followed Hyperlink" xfId="431" builtinId="9" hidden="1"/>
    <cellStyle name="Followed Hyperlink" xfId="432" builtinId="9" hidden="1"/>
    <cellStyle name="Followed Hyperlink" xfId="433" builtinId="9" hidden="1"/>
    <cellStyle name="Followed Hyperlink" xfId="434" builtinId="9" hidden="1"/>
    <cellStyle name="Followed Hyperlink" xfId="435" builtinId="9" hidden="1"/>
    <cellStyle name="Followed Hyperlink" xfId="436" builtinId="9" hidden="1"/>
    <cellStyle name="Followed Hyperlink" xfId="437" builtinId="9" hidden="1"/>
    <cellStyle name="Followed Hyperlink" xfId="438" builtinId="9" hidden="1"/>
    <cellStyle name="Followed Hyperlink" xfId="439" builtinId="9" hidden="1"/>
    <cellStyle name="Followed Hyperlink" xfId="440" builtinId="9" hidden="1"/>
    <cellStyle name="Followed Hyperlink" xfId="441" builtinId="9" hidden="1"/>
    <cellStyle name="Followed Hyperlink" xfId="442" builtinId="9" hidden="1"/>
    <cellStyle name="Followed Hyperlink" xfId="443" builtinId="9" hidden="1"/>
    <cellStyle name="Followed Hyperlink" xfId="444" builtinId="9" hidden="1"/>
    <cellStyle name="Followed Hyperlink" xfId="445" builtinId="9" hidden="1"/>
    <cellStyle name="Followed Hyperlink" xfId="446" builtinId="9" hidden="1"/>
    <cellStyle name="Followed Hyperlink" xfId="447" builtinId="9" hidden="1"/>
    <cellStyle name="Followed Hyperlink" xfId="448" builtinId="9" hidden="1"/>
    <cellStyle name="Followed Hyperlink" xfId="449" builtinId="9" hidden="1"/>
    <cellStyle name="Followed Hyperlink" xfId="450" builtinId="9" hidden="1"/>
    <cellStyle name="Followed Hyperlink" xfId="451" builtinId="9" hidden="1"/>
    <cellStyle name="Followed Hyperlink" xfId="452" builtinId="9" hidden="1"/>
    <cellStyle name="Followed Hyperlink" xfId="453" builtinId="9" hidden="1"/>
    <cellStyle name="Followed Hyperlink" xfId="454" builtinId="9" hidden="1"/>
    <cellStyle name="Followed Hyperlink" xfId="455" builtinId="9" hidden="1"/>
    <cellStyle name="Followed Hyperlink" xfId="456" builtinId="9" hidden="1"/>
    <cellStyle name="Followed Hyperlink" xfId="457" builtinId="9" hidden="1"/>
    <cellStyle name="Followed Hyperlink" xfId="458" builtinId="9" hidden="1"/>
    <cellStyle name="Followed Hyperlink" xfId="459" builtinId="9" hidden="1"/>
    <cellStyle name="Followed Hyperlink" xfId="460" builtinId="9" hidden="1"/>
    <cellStyle name="Followed Hyperlink" xfId="461" builtinId="9" hidden="1"/>
    <cellStyle name="Followed Hyperlink" xfId="462" builtinId="9" hidden="1"/>
    <cellStyle name="Followed Hyperlink" xfId="463" builtinId="9" hidden="1"/>
    <cellStyle name="Followed Hyperlink" xfId="464" builtinId="9" hidden="1"/>
    <cellStyle name="Followed Hyperlink" xfId="465" builtinId="9" hidden="1"/>
    <cellStyle name="Followed Hyperlink" xfId="466" builtinId="9" hidden="1"/>
    <cellStyle name="Followed Hyperlink" xfId="467" builtinId="9" hidden="1"/>
    <cellStyle name="Followed Hyperlink" xfId="468" builtinId="9" hidden="1"/>
    <cellStyle name="Followed Hyperlink" xfId="469" builtinId="9" hidden="1"/>
    <cellStyle name="Followed Hyperlink" xfId="470" builtinId="9" hidden="1"/>
    <cellStyle name="Followed Hyperlink" xfId="471" builtinId="9" hidden="1"/>
    <cellStyle name="Followed Hyperlink" xfId="472" builtinId="9" hidden="1"/>
    <cellStyle name="Followed Hyperlink" xfId="473" builtinId="9" hidden="1"/>
    <cellStyle name="Followed Hyperlink" xfId="474" builtinId="9" hidden="1"/>
    <cellStyle name="Followed Hyperlink" xfId="475" builtinId="9" hidden="1"/>
    <cellStyle name="Followed Hyperlink" xfId="476" builtinId="9" hidden="1"/>
    <cellStyle name="Followed Hyperlink" xfId="477" builtinId="9" hidden="1"/>
    <cellStyle name="Followed Hyperlink" xfId="478" builtinId="9" hidden="1"/>
    <cellStyle name="Followed Hyperlink" xfId="479" builtinId="9" hidden="1"/>
    <cellStyle name="Followed Hyperlink" xfId="480" builtinId="9" hidden="1"/>
    <cellStyle name="Followed Hyperlink" xfId="481" builtinId="9" hidden="1"/>
    <cellStyle name="Followed Hyperlink" xfId="482" builtinId="9" hidden="1"/>
    <cellStyle name="Followed Hyperlink" xfId="483" builtinId="9" hidden="1"/>
    <cellStyle name="Followed Hyperlink" xfId="484" builtinId="9" hidden="1"/>
    <cellStyle name="Followed Hyperlink" xfId="485" builtinId="9" hidden="1"/>
    <cellStyle name="Followed Hyperlink" xfId="486" builtinId="9" hidden="1"/>
    <cellStyle name="Followed Hyperlink" xfId="487" builtinId="9" hidden="1"/>
    <cellStyle name="Followed Hyperlink" xfId="488" builtinId="9" hidden="1"/>
    <cellStyle name="Followed Hyperlink" xfId="489" builtinId="9" hidden="1"/>
    <cellStyle name="Followed Hyperlink" xfId="490" builtinId="9" hidden="1"/>
    <cellStyle name="Followed Hyperlink" xfId="491" builtinId="9" hidden="1"/>
    <cellStyle name="Followed Hyperlink" xfId="492" builtinId="9" hidden="1"/>
    <cellStyle name="Followed Hyperlink" xfId="493" builtinId="9" hidden="1"/>
    <cellStyle name="Followed Hyperlink" xfId="494" builtinId="9" hidden="1"/>
    <cellStyle name="Followed Hyperlink" xfId="495" builtinId="9" hidden="1"/>
    <cellStyle name="Followed Hyperlink" xfId="496" builtinId="9" hidden="1"/>
    <cellStyle name="Followed Hyperlink" xfId="497" builtinId="9" hidden="1"/>
    <cellStyle name="Followed Hyperlink" xfId="498" builtinId="9" hidden="1"/>
    <cellStyle name="Followed Hyperlink" xfId="499" builtinId="9" hidden="1"/>
    <cellStyle name="Followed Hyperlink" xfId="500" builtinId="9" hidden="1"/>
    <cellStyle name="Followed Hyperlink" xfId="501" builtinId="9" hidden="1"/>
    <cellStyle name="Followed Hyperlink" xfId="502" builtinId="9" hidden="1"/>
    <cellStyle name="Followed Hyperlink" xfId="503" builtinId="9" hidden="1"/>
    <cellStyle name="Followed Hyperlink" xfId="504" builtinId="9" hidden="1"/>
    <cellStyle name="Followed Hyperlink" xfId="505" builtinId="9" hidden="1"/>
    <cellStyle name="Followed Hyperlink" xfId="506" builtinId="9" hidden="1"/>
    <cellStyle name="Followed Hyperlink" xfId="507" builtinId="9" hidden="1"/>
    <cellStyle name="Followed Hyperlink" xfId="508" builtinId="9" hidden="1"/>
    <cellStyle name="Followed Hyperlink" xfId="509" builtinId="9" hidden="1"/>
    <cellStyle name="Followed Hyperlink" xfId="510" builtinId="9" hidden="1"/>
    <cellStyle name="Followed Hyperlink" xfId="511" builtinId="9" hidden="1"/>
    <cellStyle name="Followed Hyperlink" xfId="512" builtinId="9" hidden="1"/>
    <cellStyle name="Followed Hyperlink" xfId="513" builtinId="9" hidden="1"/>
    <cellStyle name="Followed Hyperlink" xfId="514" builtinId="9" hidden="1"/>
    <cellStyle name="Followed Hyperlink" xfId="515" builtinId="9" hidden="1"/>
    <cellStyle name="Followed Hyperlink" xfId="516" builtinId="9" hidden="1"/>
    <cellStyle name="Followed Hyperlink" xfId="517" builtinId="9" hidden="1"/>
    <cellStyle name="Followed Hyperlink" xfId="518" builtinId="9" hidden="1"/>
    <cellStyle name="Followed Hyperlink" xfId="519" builtinId="9" hidden="1"/>
    <cellStyle name="Followed Hyperlink" xfId="520" builtinId="9" hidden="1"/>
    <cellStyle name="Followed Hyperlink" xfId="521" builtinId="9" hidden="1"/>
    <cellStyle name="Followed Hyperlink" xfId="522" builtinId="9" hidden="1"/>
    <cellStyle name="Followed Hyperlink" xfId="523" builtinId="9" hidden="1"/>
    <cellStyle name="Followed Hyperlink" xfId="524" builtinId="9" hidden="1"/>
    <cellStyle name="Followed Hyperlink" xfId="525" builtinId="9" hidden="1"/>
    <cellStyle name="Followed Hyperlink" xfId="526" builtinId="9" hidden="1"/>
    <cellStyle name="Followed Hyperlink" xfId="527" builtinId="9" hidden="1"/>
    <cellStyle name="Followed Hyperlink" xfId="528" builtinId="9" hidden="1"/>
    <cellStyle name="Followed Hyperlink" xfId="529" builtinId="9" hidden="1"/>
    <cellStyle name="Followed Hyperlink" xfId="530" builtinId="9" hidden="1"/>
    <cellStyle name="Followed Hyperlink" xfId="531" builtinId="9" hidden="1"/>
    <cellStyle name="Followed Hyperlink" xfId="532" builtinId="9" hidden="1"/>
    <cellStyle name="Followed Hyperlink" xfId="533" builtinId="9" hidden="1"/>
    <cellStyle name="Followed Hyperlink" xfId="534" builtinId="9" hidden="1"/>
    <cellStyle name="Followed Hyperlink" xfId="535" builtinId="9" hidden="1"/>
    <cellStyle name="Followed Hyperlink" xfId="536" builtinId="9" hidden="1"/>
    <cellStyle name="Followed Hyperlink" xfId="537" builtinId="9" hidden="1"/>
    <cellStyle name="Followed Hyperlink" xfId="538" builtinId="9" hidden="1"/>
    <cellStyle name="Followed Hyperlink" xfId="539" builtinId="9" hidden="1"/>
    <cellStyle name="Followed Hyperlink" xfId="540" builtinId="9" hidden="1"/>
    <cellStyle name="Followed Hyperlink" xfId="541" builtinId="9" hidden="1"/>
    <cellStyle name="Followed Hyperlink" xfId="542" builtinId="9" hidden="1"/>
    <cellStyle name="Followed Hyperlink" xfId="543" builtinId="9" hidden="1"/>
    <cellStyle name="Followed Hyperlink" xfId="544" builtinId="9" hidden="1"/>
    <cellStyle name="Followed Hyperlink" xfId="545" builtinId="9" hidden="1"/>
    <cellStyle name="Followed Hyperlink" xfId="546" builtinId="9" hidden="1"/>
    <cellStyle name="Followed Hyperlink" xfId="547" builtinId="9" hidden="1"/>
    <cellStyle name="Followed Hyperlink" xfId="548" builtinId="9" hidden="1"/>
    <cellStyle name="Followed Hyperlink" xfId="549" builtinId="9" hidden="1"/>
    <cellStyle name="Followed Hyperlink" xfId="550" builtinId="9" hidden="1"/>
    <cellStyle name="Followed Hyperlink" xfId="551" builtinId="9" hidden="1"/>
    <cellStyle name="Followed Hyperlink" xfId="552" builtinId="9" hidden="1"/>
    <cellStyle name="Followed Hyperlink" xfId="553" builtinId="9" hidden="1"/>
    <cellStyle name="Followed Hyperlink" xfId="554" builtinId="9" hidden="1"/>
    <cellStyle name="Followed Hyperlink" xfId="555" builtinId="9" hidden="1"/>
    <cellStyle name="Followed Hyperlink" xfId="556" builtinId="9" hidden="1"/>
    <cellStyle name="Followed Hyperlink" xfId="557" builtinId="9" hidden="1"/>
    <cellStyle name="Followed Hyperlink" xfId="558" builtinId="9" hidden="1"/>
    <cellStyle name="Followed Hyperlink" xfId="559" builtinId="9" hidden="1"/>
    <cellStyle name="Followed Hyperlink" xfId="560" builtinId="9" hidden="1"/>
    <cellStyle name="Followed Hyperlink" xfId="561" builtinId="9" hidden="1"/>
    <cellStyle name="Followed Hyperlink" xfId="562" builtinId="9" hidden="1"/>
    <cellStyle name="Followed Hyperlink" xfId="563" builtinId="9" hidden="1"/>
    <cellStyle name="Followed Hyperlink" xfId="564" builtinId="9" hidden="1"/>
    <cellStyle name="Followed Hyperlink" xfId="565" builtinId="9" hidden="1"/>
    <cellStyle name="Followed Hyperlink" xfId="566" builtinId="9" hidden="1"/>
    <cellStyle name="Followed Hyperlink" xfId="567" builtinId="9" hidden="1"/>
    <cellStyle name="Followed Hyperlink" xfId="568" builtinId="9" hidden="1"/>
    <cellStyle name="Followed Hyperlink" xfId="569" builtinId="9" hidden="1"/>
    <cellStyle name="Followed Hyperlink" xfId="570" builtinId="9" hidden="1"/>
    <cellStyle name="Followed Hyperlink" xfId="571" builtinId="9" hidden="1"/>
    <cellStyle name="Followed Hyperlink" xfId="572" builtinId="9" hidden="1"/>
    <cellStyle name="Followed Hyperlink" xfId="573" builtinId="9" hidden="1"/>
    <cellStyle name="Followed Hyperlink" xfId="574" builtinId="9" hidden="1"/>
    <cellStyle name="Followed Hyperlink" xfId="575" builtinId="9" hidden="1"/>
    <cellStyle name="Followed Hyperlink" xfId="576" builtinId="9" hidden="1"/>
    <cellStyle name="Followed Hyperlink" xfId="577" builtinId="9" hidden="1"/>
    <cellStyle name="Followed Hyperlink" xfId="578" builtinId="9" hidden="1"/>
    <cellStyle name="Followed Hyperlink" xfId="579" builtinId="9" hidden="1"/>
    <cellStyle name="Followed Hyperlink" xfId="580" builtinId="9" hidden="1"/>
    <cellStyle name="Followed Hyperlink" xfId="581" builtinId="9" hidden="1"/>
    <cellStyle name="Followed Hyperlink" xfId="582" builtinId="9" hidden="1"/>
    <cellStyle name="Followed Hyperlink" xfId="583" builtinId="9" hidden="1"/>
    <cellStyle name="Followed Hyperlink" xfId="584" builtinId="9" hidden="1"/>
    <cellStyle name="Followed Hyperlink" xfId="585" builtinId="9" hidden="1"/>
    <cellStyle name="Followed Hyperlink" xfId="586" builtinId="9" hidden="1"/>
    <cellStyle name="Followed Hyperlink" xfId="587" builtinId="9" hidden="1"/>
    <cellStyle name="Followed Hyperlink" xfId="588" builtinId="9" hidden="1"/>
    <cellStyle name="Followed Hyperlink" xfId="589" builtinId="9" hidden="1"/>
    <cellStyle name="Followed Hyperlink" xfId="590" builtinId="9" hidden="1"/>
    <cellStyle name="Followed Hyperlink" xfId="591" builtinId="9" hidden="1"/>
    <cellStyle name="Followed Hyperlink" xfId="592" builtinId="9" hidden="1"/>
    <cellStyle name="Followed Hyperlink" xfId="593" builtinId="9" hidden="1"/>
    <cellStyle name="Followed Hyperlink" xfId="594" builtinId="9" hidden="1"/>
    <cellStyle name="Followed Hyperlink" xfId="595" builtinId="9" hidden="1"/>
    <cellStyle name="Followed Hyperlink" xfId="596" builtinId="9" hidden="1"/>
    <cellStyle name="Followed Hyperlink" xfId="597" builtinId="9" hidden="1"/>
    <cellStyle name="Followed Hyperlink" xfId="598" builtinId="9" hidden="1"/>
    <cellStyle name="Followed Hyperlink" xfId="599" builtinId="9" hidden="1"/>
    <cellStyle name="Followed Hyperlink" xfId="600" builtinId="9" hidden="1"/>
    <cellStyle name="Followed Hyperlink" xfId="601" builtinId="9" hidden="1"/>
    <cellStyle name="Followed Hyperlink" xfId="602" builtinId="9" hidden="1"/>
    <cellStyle name="Followed Hyperlink" xfId="603" builtinId="9" hidden="1"/>
    <cellStyle name="Followed Hyperlink" xfId="604" builtinId="9" hidden="1"/>
    <cellStyle name="Followed Hyperlink" xfId="605" builtinId="9" hidden="1"/>
    <cellStyle name="Followed Hyperlink" xfId="606" builtinId="9" hidden="1"/>
    <cellStyle name="Followed Hyperlink" xfId="607" builtinId="9" hidden="1"/>
    <cellStyle name="Followed Hyperlink" xfId="608" builtinId="9" hidden="1"/>
    <cellStyle name="Followed Hyperlink" xfId="609" builtinId="9" hidden="1"/>
    <cellStyle name="Followed Hyperlink" xfId="610" builtinId="9" hidden="1"/>
    <cellStyle name="Followed Hyperlink" xfId="611" builtinId="9" hidden="1"/>
    <cellStyle name="Followed Hyperlink" xfId="612" builtinId="9" hidden="1"/>
    <cellStyle name="Followed Hyperlink" xfId="613" builtinId="9" hidden="1"/>
    <cellStyle name="Followed Hyperlink" xfId="614" builtinId="9" hidden="1"/>
    <cellStyle name="Followed Hyperlink" xfId="615" builtinId="9" hidden="1"/>
    <cellStyle name="Followed Hyperlink" xfId="616" builtinId="9" hidden="1"/>
    <cellStyle name="Followed Hyperlink" xfId="617" builtinId="9" hidden="1"/>
    <cellStyle name="Followed Hyperlink" xfId="618" builtinId="9" hidden="1"/>
    <cellStyle name="Followed Hyperlink" xfId="619" builtinId="9" hidden="1"/>
    <cellStyle name="Followed Hyperlink" xfId="620" builtinId="9" hidden="1"/>
    <cellStyle name="Followed Hyperlink" xfId="621" builtinId="9" hidden="1"/>
    <cellStyle name="Followed Hyperlink" xfId="622" builtinId="9" hidden="1"/>
    <cellStyle name="Followed Hyperlink" xfId="623" builtinId="9" hidden="1"/>
    <cellStyle name="Followed Hyperlink" xfId="624" builtinId="9" hidden="1"/>
    <cellStyle name="Followed Hyperlink" xfId="625" builtinId="9" hidden="1"/>
    <cellStyle name="Followed Hyperlink" xfId="626" builtinId="9" hidden="1"/>
    <cellStyle name="Followed Hyperlink" xfId="627" builtinId="9" hidden="1"/>
    <cellStyle name="Followed Hyperlink" xfId="628" builtinId="9" hidden="1"/>
    <cellStyle name="Followed Hyperlink" xfId="629" builtinId="9" hidden="1"/>
    <cellStyle name="Followed Hyperlink" xfId="630" builtinId="9" hidden="1"/>
    <cellStyle name="Followed Hyperlink" xfId="631" builtinId="9" hidden="1"/>
    <cellStyle name="Followed Hyperlink" xfId="632" builtinId="9" hidden="1"/>
    <cellStyle name="Followed Hyperlink" xfId="633" builtinId="9" hidden="1"/>
    <cellStyle name="Followed Hyperlink" xfId="634" builtinId="9" hidden="1"/>
    <cellStyle name="Followed Hyperlink" xfId="635" builtinId="9" hidden="1"/>
    <cellStyle name="Followed Hyperlink" xfId="636" builtinId="9" hidden="1"/>
    <cellStyle name="Followed Hyperlink" xfId="637" builtinId="9" hidden="1"/>
    <cellStyle name="Followed Hyperlink" xfId="638" builtinId="9" hidden="1"/>
    <cellStyle name="Followed Hyperlink" xfId="639" builtinId="9" hidden="1"/>
    <cellStyle name="Followed Hyperlink" xfId="640" builtinId="9" hidden="1"/>
    <cellStyle name="Followed Hyperlink" xfId="641" builtinId="9" hidden="1"/>
    <cellStyle name="Followed Hyperlink" xfId="642" builtinId="9" hidden="1"/>
    <cellStyle name="Followed Hyperlink" xfId="643" builtinId="9" hidden="1"/>
    <cellStyle name="Followed Hyperlink" xfId="644" builtinId="9" hidden="1"/>
    <cellStyle name="Followed Hyperlink" xfId="645" builtinId="9" hidden="1"/>
    <cellStyle name="Followed Hyperlink" xfId="646" builtinId="9" hidden="1"/>
    <cellStyle name="Followed Hyperlink" xfId="647" builtinId="9" hidden="1"/>
    <cellStyle name="Followed Hyperlink" xfId="648" builtinId="9" hidden="1"/>
    <cellStyle name="Followed Hyperlink" xfId="649" builtinId="9" hidden="1"/>
    <cellStyle name="Followed Hyperlink" xfId="650" builtinId="9" hidden="1"/>
    <cellStyle name="Followed Hyperlink" xfId="651" builtinId="9" hidden="1"/>
    <cellStyle name="Followed Hyperlink" xfId="652" builtinId="9" hidden="1"/>
    <cellStyle name="Followed Hyperlink" xfId="653" builtinId="9" hidden="1"/>
    <cellStyle name="Followed Hyperlink" xfId="654" builtinId="9" hidden="1"/>
    <cellStyle name="Followed Hyperlink" xfId="655" builtinId="9" hidden="1"/>
    <cellStyle name="Followed Hyperlink" xfId="656" builtinId="9" hidden="1"/>
    <cellStyle name="Followed Hyperlink" xfId="657" builtinId="9" hidden="1"/>
    <cellStyle name="Followed Hyperlink" xfId="658" builtinId="9" hidden="1"/>
    <cellStyle name="Followed Hyperlink" xfId="659" builtinId="9" hidden="1"/>
    <cellStyle name="Followed Hyperlink" xfId="660" builtinId="9" hidden="1"/>
    <cellStyle name="Followed Hyperlink" xfId="661" builtinId="9" hidden="1"/>
    <cellStyle name="Followed Hyperlink" xfId="662" builtinId="9" hidden="1"/>
    <cellStyle name="Followed Hyperlink" xfId="663" builtinId="9" hidden="1"/>
    <cellStyle name="Followed Hyperlink" xfId="664" builtinId="9" hidden="1"/>
    <cellStyle name="Followed Hyperlink" xfId="665" builtinId="9" hidden="1"/>
    <cellStyle name="Followed Hyperlink" xfId="666" builtinId="9" hidden="1"/>
    <cellStyle name="Followed Hyperlink" xfId="667" builtinId="9" hidden="1"/>
    <cellStyle name="Followed Hyperlink" xfId="668" builtinId="9" hidden="1"/>
    <cellStyle name="Followed Hyperlink" xfId="669" builtinId="9" hidden="1"/>
    <cellStyle name="Followed Hyperlink" xfId="670" builtinId="9" hidden="1"/>
    <cellStyle name="Followed Hyperlink" xfId="671" builtinId="9" hidden="1"/>
    <cellStyle name="Followed Hyperlink" xfId="672" builtinId="9" hidden="1"/>
    <cellStyle name="Followed Hyperlink" xfId="673" builtinId="9" hidden="1"/>
    <cellStyle name="Followed Hyperlink" xfId="674" builtinId="9" hidden="1"/>
    <cellStyle name="Followed Hyperlink" xfId="675" builtinId="9" hidden="1"/>
    <cellStyle name="Followed Hyperlink" xfId="676" builtinId="9" hidden="1"/>
    <cellStyle name="Followed Hyperlink" xfId="677" builtinId="9" hidden="1"/>
    <cellStyle name="Followed Hyperlink" xfId="678" builtinId="9" hidden="1"/>
    <cellStyle name="Followed Hyperlink" xfId="679" builtinId="9" hidden="1"/>
    <cellStyle name="Followed Hyperlink" xfId="680" builtinId="9" hidden="1"/>
    <cellStyle name="Followed Hyperlink" xfId="681" builtinId="9" hidden="1"/>
    <cellStyle name="Followed Hyperlink" xfId="682" builtinId="9" hidden="1"/>
    <cellStyle name="Followed Hyperlink" xfId="683" builtinId="9" hidden="1"/>
    <cellStyle name="Followed Hyperlink" xfId="684" builtinId="9" hidden="1"/>
    <cellStyle name="Followed Hyperlink" xfId="685" builtinId="9" hidden="1"/>
    <cellStyle name="Followed Hyperlink" xfId="686" builtinId="9" hidden="1"/>
    <cellStyle name="Followed Hyperlink" xfId="687" builtinId="9" hidden="1"/>
    <cellStyle name="Followed Hyperlink" xfId="688" builtinId="9" hidden="1"/>
    <cellStyle name="Followed Hyperlink" xfId="689" builtinId="9" hidden="1"/>
    <cellStyle name="Followed Hyperlink" xfId="690" builtinId="9" hidden="1"/>
    <cellStyle name="Followed Hyperlink" xfId="691" builtinId="9" hidden="1"/>
    <cellStyle name="Followed Hyperlink" xfId="692" builtinId="9" hidden="1"/>
    <cellStyle name="Followed Hyperlink" xfId="693" builtinId="9" hidden="1"/>
    <cellStyle name="Followed Hyperlink" xfId="694" builtinId="9" hidden="1"/>
    <cellStyle name="Followed Hyperlink" xfId="695" builtinId="9" hidden="1"/>
    <cellStyle name="Followed Hyperlink" xfId="696" builtinId="9" hidden="1"/>
    <cellStyle name="Followed Hyperlink" xfId="697" builtinId="9" hidden="1"/>
    <cellStyle name="Followed Hyperlink" xfId="698" builtinId="9" hidden="1"/>
    <cellStyle name="Followed Hyperlink" xfId="699" builtinId="9" hidden="1"/>
    <cellStyle name="Followed Hyperlink" xfId="700" builtinId="9" hidden="1"/>
    <cellStyle name="Followed Hyperlink" xfId="701" builtinId="9" hidden="1"/>
    <cellStyle name="Followed Hyperlink" xfId="702" builtinId="9" hidden="1"/>
    <cellStyle name="Followed Hyperlink" xfId="703" builtinId="9" hidden="1"/>
    <cellStyle name="Followed Hyperlink" xfId="704" builtinId="9" hidden="1"/>
    <cellStyle name="Followed Hyperlink" xfId="705" builtinId="9" hidden="1"/>
    <cellStyle name="Followed Hyperlink" xfId="706" builtinId="9" hidden="1"/>
    <cellStyle name="Followed Hyperlink" xfId="707" builtinId="9" hidden="1"/>
    <cellStyle name="Followed Hyperlink" xfId="708" builtinId="9" hidden="1"/>
    <cellStyle name="Followed Hyperlink" xfId="709" builtinId="9" hidden="1"/>
    <cellStyle name="Followed Hyperlink" xfId="710" builtinId="9" hidden="1"/>
    <cellStyle name="Followed Hyperlink" xfId="711" builtinId="9" hidden="1"/>
    <cellStyle name="Followed Hyperlink" xfId="712" builtinId="9" hidden="1"/>
    <cellStyle name="Followed Hyperlink" xfId="713" builtinId="9" hidden="1"/>
    <cellStyle name="Followed Hyperlink" xfId="714" builtinId="9" hidden="1"/>
    <cellStyle name="Followed Hyperlink" xfId="715" builtinId="9" hidden="1"/>
    <cellStyle name="Followed Hyperlink" xfId="716" builtinId="9" hidden="1"/>
    <cellStyle name="Followed Hyperlink" xfId="717" builtinId="9" hidden="1"/>
    <cellStyle name="Followed Hyperlink" xfId="718" builtinId="9" hidden="1"/>
    <cellStyle name="Followed Hyperlink" xfId="719" builtinId="9" hidden="1"/>
    <cellStyle name="Followed Hyperlink" xfId="720" builtinId="9" hidden="1"/>
    <cellStyle name="Followed Hyperlink" xfId="721" builtinId="9" hidden="1"/>
    <cellStyle name="Followed Hyperlink" xfId="722" builtinId="9" hidden="1"/>
    <cellStyle name="Followed Hyperlink" xfId="723" builtinId="9" hidden="1"/>
    <cellStyle name="Followed Hyperlink" xfId="724" builtinId="9" hidden="1"/>
    <cellStyle name="Followed Hyperlink" xfId="725" builtinId="9" hidden="1"/>
    <cellStyle name="Followed Hyperlink" xfId="726" builtinId="9" hidden="1"/>
    <cellStyle name="Followed Hyperlink" xfId="727" builtinId="9" hidden="1"/>
    <cellStyle name="Followed Hyperlink" xfId="728" builtinId="9" hidden="1"/>
    <cellStyle name="Followed Hyperlink" xfId="729" builtinId="9" hidden="1"/>
    <cellStyle name="Followed Hyperlink" xfId="730" builtinId="9" hidden="1"/>
    <cellStyle name="Followed Hyperlink" xfId="731" builtinId="9" hidden="1"/>
    <cellStyle name="Followed Hyperlink" xfId="732" builtinId="9" hidden="1"/>
    <cellStyle name="Followed Hyperlink" xfId="733" builtinId="9" hidden="1"/>
    <cellStyle name="Followed Hyperlink" xfId="734" builtinId="9" hidden="1"/>
    <cellStyle name="Followed Hyperlink" xfId="735" builtinId="9" hidden="1"/>
    <cellStyle name="Followed Hyperlink" xfId="736" builtinId="9" hidden="1"/>
    <cellStyle name="Followed Hyperlink" xfId="737" builtinId="9" hidden="1"/>
    <cellStyle name="Followed Hyperlink" xfId="738" builtinId="9" hidden="1"/>
    <cellStyle name="Followed Hyperlink" xfId="739" builtinId="9" hidden="1"/>
    <cellStyle name="Followed Hyperlink" xfId="740" builtinId="9" hidden="1"/>
    <cellStyle name="Followed Hyperlink" xfId="741" builtinId="9" hidden="1"/>
    <cellStyle name="Followed Hyperlink" xfId="742" builtinId="9" hidden="1"/>
    <cellStyle name="Followed Hyperlink" xfId="743" builtinId="9" hidden="1"/>
    <cellStyle name="Followed Hyperlink" xfId="744" builtinId="9" hidden="1"/>
    <cellStyle name="Followed Hyperlink" xfId="745" builtinId="9" hidden="1"/>
    <cellStyle name="Followed Hyperlink" xfId="746" builtinId="9" hidden="1"/>
    <cellStyle name="Followed Hyperlink" xfId="747" builtinId="9" hidden="1"/>
    <cellStyle name="Followed Hyperlink" xfId="748" builtinId="9" hidden="1"/>
    <cellStyle name="Followed Hyperlink" xfId="749" builtinId="9" hidden="1"/>
    <cellStyle name="Followed Hyperlink" xfId="750" builtinId="9" hidden="1"/>
    <cellStyle name="Followed Hyperlink" xfId="751" builtinId="9" hidden="1"/>
    <cellStyle name="Followed Hyperlink" xfId="752" builtinId="9" hidden="1"/>
    <cellStyle name="Followed Hyperlink" xfId="753" builtinId="9" hidden="1"/>
    <cellStyle name="Followed Hyperlink" xfId="754" builtinId="9" hidden="1"/>
    <cellStyle name="Followed Hyperlink" xfId="755" builtinId="9" hidden="1"/>
    <cellStyle name="Followed Hyperlink" xfId="756" builtinId="9" hidden="1"/>
    <cellStyle name="Followed Hyperlink" xfId="757" builtinId="9" hidden="1"/>
    <cellStyle name="Followed Hyperlink" xfId="758" builtinId="9" hidden="1"/>
    <cellStyle name="Followed Hyperlink" xfId="759" builtinId="9" hidden="1"/>
    <cellStyle name="Followed Hyperlink" xfId="760" builtinId="9" hidden="1"/>
    <cellStyle name="Followed Hyperlink" xfId="761" builtinId="9" hidden="1"/>
    <cellStyle name="Followed Hyperlink" xfId="762" builtinId="9" hidden="1"/>
    <cellStyle name="Followed Hyperlink" xfId="763" builtinId="9" hidden="1"/>
    <cellStyle name="Followed Hyperlink" xfId="764" builtinId="9" hidden="1"/>
    <cellStyle name="Followed Hyperlink" xfId="765" builtinId="9" hidden="1"/>
    <cellStyle name="Followed Hyperlink" xfId="766" builtinId="9" hidden="1"/>
    <cellStyle name="Followed Hyperlink" xfId="767" builtinId="9" hidden="1"/>
    <cellStyle name="Followed Hyperlink" xfId="768" builtinId="9" hidden="1"/>
    <cellStyle name="Followed Hyperlink" xfId="769" builtinId="9" hidden="1"/>
    <cellStyle name="Followed Hyperlink" xfId="770" builtinId="9" hidden="1"/>
    <cellStyle name="Followed Hyperlink" xfId="771" builtinId="9" hidden="1"/>
    <cellStyle name="Followed Hyperlink" xfId="772" builtinId="9" hidden="1"/>
    <cellStyle name="Followed Hyperlink" xfId="773" builtinId="9" hidden="1"/>
    <cellStyle name="Followed Hyperlink" xfId="774" builtinId="9" hidden="1"/>
    <cellStyle name="Followed Hyperlink" xfId="775" builtinId="9" hidden="1"/>
    <cellStyle name="Followed Hyperlink" xfId="776" builtinId="9" hidden="1"/>
    <cellStyle name="Followed Hyperlink" xfId="777" builtinId="9" hidden="1"/>
    <cellStyle name="Followed Hyperlink" xfId="778" builtinId="9" hidden="1"/>
    <cellStyle name="Followed Hyperlink" xfId="779" builtinId="9" hidden="1"/>
    <cellStyle name="Followed Hyperlink" xfId="780" builtinId="9" hidden="1"/>
    <cellStyle name="Followed Hyperlink" xfId="781" builtinId="9" hidden="1"/>
    <cellStyle name="Followed Hyperlink" xfId="782" builtinId="9" hidden="1"/>
    <cellStyle name="Followed Hyperlink" xfId="783" builtinId="9" hidden="1"/>
    <cellStyle name="Followed Hyperlink" xfId="784" builtinId="9" hidden="1"/>
    <cellStyle name="Followed Hyperlink" xfId="785" builtinId="9" hidden="1"/>
    <cellStyle name="Followed Hyperlink" xfId="786" builtinId="9" hidden="1"/>
    <cellStyle name="Followed Hyperlink" xfId="787" builtinId="9" hidden="1"/>
    <cellStyle name="Followed Hyperlink" xfId="788" builtinId="9" hidden="1"/>
    <cellStyle name="Followed Hyperlink" xfId="789" builtinId="9" hidden="1"/>
    <cellStyle name="Followed Hyperlink" xfId="790" builtinId="9" hidden="1"/>
    <cellStyle name="Followed Hyperlink" xfId="791" builtinId="9" hidden="1"/>
    <cellStyle name="Followed Hyperlink" xfId="792" builtinId="9" hidden="1"/>
    <cellStyle name="Followed Hyperlink" xfId="793" builtinId="9" hidden="1"/>
    <cellStyle name="Followed Hyperlink" xfId="794" builtinId="9" hidden="1"/>
    <cellStyle name="Followed Hyperlink" xfId="795" builtinId="9" hidden="1"/>
    <cellStyle name="Followed Hyperlink" xfId="796" builtinId="9" hidden="1"/>
    <cellStyle name="Followed Hyperlink" xfId="797" builtinId="9" hidden="1"/>
    <cellStyle name="Followed Hyperlink" xfId="798" builtinId="9" hidden="1"/>
    <cellStyle name="Followed Hyperlink" xfId="799" builtinId="9" hidden="1"/>
    <cellStyle name="Followed Hyperlink" xfId="800" builtinId="9" hidden="1"/>
    <cellStyle name="Followed Hyperlink" xfId="801" builtinId="9" hidden="1"/>
    <cellStyle name="Followed Hyperlink" xfId="802" builtinId="9" hidden="1"/>
    <cellStyle name="Followed Hyperlink" xfId="803" builtinId="9" hidden="1"/>
    <cellStyle name="Followed Hyperlink" xfId="804" builtinId="9" hidden="1"/>
    <cellStyle name="Followed Hyperlink" xfId="805" builtinId="9" hidden="1"/>
    <cellStyle name="Followed Hyperlink" xfId="806" builtinId="9" hidden="1"/>
    <cellStyle name="Followed Hyperlink" xfId="807" builtinId="9" hidden="1"/>
    <cellStyle name="Followed Hyperlink" xfId="808" builtinId="9" hidden="1"/>
    <cellStyle name="Followed Hyperlink" xfId="809" builtinId="9" hidden="1"/>
    <cellStyle name="Followed Hyperlink" xfId="810" builtinId="9" hidden="1"/>
    <cellStyle name="Followed Hyperlink" xfId="811" builtinId="9" hidden="1"/>
    <cellStyle name="Followed Hyperlink" xfId="812" builtinId="9" hidden="1"/>
    <cellStyle name="Followed Hyperlink" xfId="813" builtinId="9" hidden="1"/>
    <cellStyle name="Followed Hyperlink" xfId="814" builtinId="9" hidden="1"/>
    <cellStyle name="Followed Hyperlink" xfId="815" builtinId="9" hidden="1"/>
    <cellStyle name="Followed Hyperlink" xfId="816" builtinId="9" hidden="1"/>
    <cellStyle name="Followed Hyperlink" xfId="817" builtinId="9" hidden="1"/>
    <cellStyle name="Followed Hyperlink" xfId="818" builtinId="9" hidden="1"/>
    <cellStyle name="Followed Hyperlink" xfId="819" builtinId="9" hidden="1"/>
    <cellStyle name="Followed Hyperlink" xfId="820" builtinId="9" hidden="1"/>
    <cellStyle name="Followed Hyperlink" xfId="821" builtinId="9" hidden="1"/>
    <cellStyle name="Followed Hyperlink" xfId="822" builtinId="9" hidden="1"/>
    <cellStyle name="Followed Hyperlink" xfId="823" builtinId="9" hidden="1"/>
    <cellStyle name="Followed Hyperlink" xfId="824" builtinId="9" hidden="1"/>
    <cellStyle name="Followed Hyperlink" xfId="825" builtinId="9" hidden="1"/>
    <cellStyle name="Followed Hyperlink" xfId="826" builtinId="9" hidden="1"/>
    <cellStyle name="Followed Hyperlink" xfId="827" builtinId="9" hidden="1"/>
    <cellStyle name="Followed Hyperlink" xfId="828" builtinId="9" hidden="1"/>
    <cellStyle name="Followed Hyperlink" xfId="829" builtinId="9" hidden="1"/>
    <cellStyle name="Followed Hyperlink" xfId="830" builtinId="9" hidden="1"/>
    <cellStyle name="Followed Hyperlink" xfId="831" builtinId="9" hidden="1"/>
    <cellStyle name="Followed Hyperlink" xfId="832" builtinId="9" hidden="1"/>
    <cellStyle name="Followed Hyperlink" xfId="833" builtinId="9" hidden="1"/>
    <cellStyle name="Followed Hyperlink" xfId="834" builtinId="9" hidden="1"/>
    <cellStyle name="Followed Hyperlink" xfId="835" builtinId="9" hidden="1"/>
    <cellStyle name="Followed Hyperlink" xfId="836" builtinId="9" hidden="1"/>
    <cellStyle name="Followed Hyperlink" xfId="837" builtinId="9" hidden="1"/>
    <cellStyle name="Followed Hyperlink" xfId="838" builtinId="9" hidden="1"/>
    <cellStyle name="Followed Hyperlink" xfId="839" builtinId="9" hidden="1"/>
    <cellStyle name="Followed Hyperlink" xfId="840" builtinId="9" hidden="1"/>
    <cellStyle name="Followed Hyperlink" xfId="841" builtinId="9" hidden="1"/>
    <cellStyle name="Followed Hyperlink" xfId="842" builtinId="9" hidden="1"/>
    <cellStyle name="Followed Hyperlink" xfId="843" builtinId="9" hidden="1"/>
    <cellStyle name="Followed Hyperlink" xfId="844" builtinId="9" hidden="1"/>
    <cellStyle name="Followed Hyperlink" xfId="845" builtinId="9" hidden="1"/>
    <cellStyle name="Followed Hyperlink" xfId="846" builtinId="9" hidden="1"/>
    <cellStyle name="Followed Hyperlink" xfId="847" builtinId="9" hidden="1"/>
    <cellStyle name="Followed Hyperlink" xfId="848" builtinId="9" hidden="1"/>
    <cellStyle name="Followed Hyperlink" xfId="849" builtinId="9" hidden="1"/>
    <cellStyle name="Followed Hyperlink" xfId="850" builtinId="9" hidden="1"/>
    <cellStyle name="Followed Hyperlink" xfId="851" builtinId="9" hidden="1"/>
    <cellStyle name="Followed Hyperlink" xfId="852" builtinId="9" hidden="1"/>
    <cellStyle name="Followed Hyperlink" xfId="853" builtinId="9" hidden="1"/>
    <cellStyle name="Followed Hyperlink" xfId="854" builtinId="9" hidden="1"/>
    <cellStyle name="Followed Hyperlink" xfId="855" builtinId="9" hidden="1"/>
    <cellStyle name="Followed Hyperlink" xfId="856" builtinId="9" hidden="1"/>
    <cellStyle name="Followed Hyperlink" xfId="857" builtinId="9" hidden="1"/>
    <cellStyle name="Followed Hyperlink" xfId="858" builtinId="9" hidden="1"/>
    <cellStyle name="Followed Hyperlink" xfId="859" builtinId="9" hidden="1"/>
    <cellStyle name="Followed Hyperlink" xfId="860" builtinId="9" hidden="1"/>
    <cellStyle name="Followed Hyperlink" xfId="861" builtinId="9" hidden="1"/>
    <cellStyle name="Followed Hyperlink" xfId="862" builtinId="9" hidden="1"/>
    <cellStyle name="Followed Hyperlink" xfId="863" builtinId="9" hidden="1"/>
    <cellStyle name="Followed Hyperlink" xfId="864" builtinId="9" hidden="1"/>
    <cellStyle name="Followed Hyperlink" xfId="865" builtinId="9" hidden="1"/>
    <cellStyle name="Followed Hyperlink" xfId="866" builtinId="9" hidden="1"/>
    <cellStyle name="Followed Hyperlink" xfId="867" builtinId="9" hidden="1"/>
    <cellStyle name="Followed Hyperlink" xfId="868" builtinId="9" hidden="1"/>
    <cellStyle name="Followed Hyperlink" xfId="869" builtinId="9" hidden="1"/>
    <cellStyle name="Followed Hyperlink" xfId="870" builtinId="9" hidden="1"/>
    <cellStyle name="Followed Hyperlink" xfId="871" builtinId="9" hidden="1"/>
    <cellStyle name="Followed Hyperlink" xfId="872" builtinId="9" hidden="1"/>
    <cellStyle name="Followed Hyperlink" xfId="873" builtinId="9" hidden="1"/>
    <cellStyle name="Followed Hyperlink" xfId="874" builtinId="9" hidden="1"/>
    <cellStyle name="Followed Hyperlink" xfId="875" builtinId="9" hidden="1"/>
    <cellStyle name="Followed Hyperlink" xfId="876" builtinId="9" hidden="1"/>
    <cellStyle name="Followed Hyperlink" xfId="877" builtinId="9" hidden="1"/>
    <cellStyle name="Followed Hyperlink" xfId="878" builtinId="9" hidden="1"/>
    <cellStyle name="Followed Hyperlink" xfId="879" builtinId="9" hidden="1"/>
    <cellStyle name="Followed Hyperlink" xfId="880" builtinId="9" hidden="1"/>
    <cellStyle name="Followed Hyperlink" xfId="881" builtinId="9" hidden="1"/>
    <cellStyle name="Followed Hyperlink" xfId="882" builtinId="9" hidden="1"/>
    <cellStyle name="Followed Hyperlink" xfId="883" builtinId="9" hidden="1"/>
    <cellStyle name="Followed Hyperlink" xfId="884" builtinId="9" hidden="1"/>
    <cellStyle name="Followed Hyperlink" xfId="885" builtinId="9" hidden="1"/>
    <cellStyle name="Followed Hyperlink" xfId="886" builtinId="9" hidden="1"/>
    <cellStyle name="Followed Hyperlink" xfId="887" builtinId="9" hidden="1"/>
    <cellStyle name="Followed Hyperlink" xfId="888" builtinId="9" hidden="1"/>
    <cellStyle name="Followed Hyperlink" xfId="889" builtinId="9" hidden="1"/>
    <cellStyle name="Followed Hyperlink" xfId="890" builtinId="9" hidden="1"/>
    <cellStyle name="Followed Hyperlink" xfId="891" builtinId="9" hidden="1"/>
    <cellStyle name="Followed Hyperlink" xfId="892" builtinId="9" hidden="1"/>
    <cellStyle name="Followed Hyperlink" xfId="893" builtinId="9" hidden="1"/>
    <cellStyle name="Followed Hyperlink" xfId="894" builtinId="9" hidden="1"/>
    <cellStyle name="Followed Hyperlink" xfId="895" builtinId="9" hidden="1"/>
    <cellStyle name="Followed Hyperlink" xfId="896" builtinId="9" hidden="1"/>
    <cellStyle name="Followed Hyperlink" xfId="897" builtinId="9" hidden="1"/>
    <cellStyle name="Followed Hyperlink" xfId="898" builtinId="9" hidden="1"/>
    <cellStyle name="Followed Hyperlink" xfId="899" builtinId="9" hidden="1"/>
    <cellStyle name="Followed Hyperlink" xfId="900" builtinId="9" hidden="1"/>
    <cellStyle name="Followed Hyperlink" xfId="901" builtinId="9" hidden="1"/>
    <cellStyle name="Followed Hyperlink" xfId="902" builtinId="9" hidden="1"/>
    <cellStyle name="Followed Hyperlink" xfId="903" builtinId="9" hidden="1"/>
    <cellStyle name="Followed Hyperlink" xfId="904" builtinId="9" hidden="1"/>
    <cellStyle name="Followed Hyperlink" xfId="905" builtinId="9" hidden="1"/>
    <cellStyle name="Followed Hyperlink" xfId="906" builtinId="9" hidden="1"/>
    <cellStyle name="Followed Hyperlink" xfId="907" builtinId="9" hidden="1"/>
    <cellStyle name="Followed Hyperlink" xfId="908" builtinId="9" hidden="1"/>
    <cellStyle name="Followed Hyperlink" xfId="909" builtinId="9" hidden="1"/>
    <cellStyle name="Followed Hyperlink" xfId="910" builtinId="9" hidden="1"/>
    <cellStyle name="Followed Hyperlink" xfId="911" builtinId="9" hidden="1"/>
    <cellStyle name="Followed Hyperlink" xfId="912" builtinId="9" hidden="1"/>
    <cellStyle name="Followed Hyperlink" xfId="913" builtinId="9" hidden="1"/>
    <cellStyle name="Followed Hyperlink" xfId="914" builtinId="9" hidden="1"/>
    <cellStyle name="Followed Hyperlink" xfId="915" builtinId="9" hidden="1"/>
    <cellStyle name="Followed Hyperlink" xfId="916" builtinId="9" hidden="1"/>
    <cellStyle name="Followed Hyperlink" xfId="917" builtinId="9" hidden="1"/>
    <cellStyle name="Followed Hyperlink" xfId="918" builtinId="9" hidden="1"/>
    <cellStyle name="Followed Hyperlink" xfId="919" builtinId="9" hidden="1"/>
    <cellStyle name="Followed Hyperlink" xfId="920" builtinId="9" hidden="1"/>
    <cellStyle name="Followed Hyperlink" xfId="921" builtinId="9" hidden="1"/>
    <cellStyle name="Followed Hyperlink" xfId="922" builtinId="9" hidden="1"/>
    <cellStyle name="Followed Hyperlink" xfId="923" builtinId="9" hidden="1"/>
    <cellStyle name="Followed Hyperlink" xfId="924" builtinId="9" hidden="1"/>
    <cellStyle name="Followed Hyperlink" xfId="925" builtinId="9" hidden="1"/>
    <cellStyle name="Followed Hyperlink" xfId="926" builtinId="9" hidden="1"/>
    <cellStyle name="Followed Hyperlink" xfId="927" builtinId="9" hidden="1"/>
    <cellStyle name="Followed Hyperlink" xfId="928" builtinId="9" hidden="1"/>
    <cellStyle name="Followed Hyperlink" xfId="929" builtinId="9" hidden="1"/>
    <cellStyle name="Followed Hyperlink" xfId="930" builtinId="9" hidden="1"/>
    <cellStyle name="Followed Hyperlink" xfId="931" builtinId="9" hidden="1"/>
    <cellStyle name="Followed Hyperlink" xfId="932" builtinId="9" hidden="1"/>
    <cellStyle name="Followed Hyperlink" xfId="933" builtinId="9" hidden="1"/>
    <cellStyle name="Followed Hyperlink" xfId="934" builtinId="9" hidden="1"/>
    <cellStyle name="Followed Hyperlink" xfId="935" builtinId="9" hidden="1"/>
    <cellStyle name="Followed Hyperlink" xfId="936" builtinId="9" hidden="1"/>
    <cellStyle name="Followed Hyperlink" xfId="937" builtinId="9" hidden="1"/>
    <cellStyle name="Followed Hyperlink" xfId="938" builtinId="9" hidden="1"/>
    <cellStyle name="Followed Hyperlink" xfId="939" builtinId="9" hidden="1"/>
    <cellStyle name="Followed Hyperlink" xfId="940" builtinId="9" hidden="1"/>
    <cellStyle name="Followed Hyperlink" xfId="941" builtinId="9" hidden="1"/>
    <cellStyle name="Followed Hyperlink" xfId="942" builtinId="9" hidden="1"/>
    <cellStyle name="Followed Hyperlink" xfId="943" builtinId="9" hidden="1"/>
    <cellStyle name="Followed Hyperlink" xfId="944" builtinId="9" hidden="1"/>
    <cellStyle name="Followed Hyperlink" xfId="945" builtinId="9" hidden="1"/>
    <cellStyle name="Followed Hyperlink" xfId="946" builtinId="9" hidden="1"/>
    <cellStyle name="Followed Hyperlink" xfId="947" builtinId="9" hidden="1"/>
    <cellStyle name="Followed Hyperlink" xfId="948" builtinId="9" hidden="1"/>
    <cellStyle name="Followed Hyperlink" xfId="949" builtinId="9" hidden="1"/>
    <cellStyle name="Followed Hyperlink" xfId="950" builtinId="9" hidden="1"/>
    <cellStyle name="Followed Hyperlink" xfId="951" builtinId="9" hidden="1"/>
    <cellStyle name="Followed Hyperlink" xfId="952" builtinId="9" hidden="1"/>
    <cellStyle name="Followed Hyperlink" xfId="953" builtinId="9" hidden="1"/>
    <cellStyle name="Followed Hyperlink" xfId="954" builtinId="9" hidden="1"/>
    <cellStyle name="Followed Hyperlink" xfId="955" builtinId="9" hidden="1"/>
    <cellStyle name="Followed Hyperlink" xfId="956" builtinId="9" hidden="1"/>
    <cellStyle name="Followed Hyperlink" xfId="957" builtinId="9" hidden="1"/>
    <cellStyle name="Followed Hyperlink" xfId="958" builtinId="9" hidden="1"/>
    <cellStyle name="Followed Hyperlink" xfId="959" builtinId="9" hidden="1"/>
    <cellStyle name="Followed Hyperlink" xfId="960" builtinId="9" hidden="1"/>
    <cellStyle name="Followed Hyperlink" xfId="961" builtinId="9" hidden="1"/>
    <cellStyle name="Followed Hyperlink" xfId="962" builtinId="9" hidden="1"/>
    <cellStyle name="Followed Hyperlink" xfId="963" builtinId="9" hidden="1"/>
    <cellStyle name="Followed Hyperlink" xfId="964" builtinId="9" hidden="1"/>
    <cellStyle name="Followed Hyperlink" xfId="965" builtinId="9" hidden="1"/>
    <cellStyle name="Followed Hyperlink" xfId="966" builtinId="9" hidden="1"/>
    <cellStyle name="Followed Hyperlink" xfId="967" builtinId="9" hidden="1"/>
    <cellStyle name="Followed Hyperlink" xfId="968" builtinId="9" hidden="1"/>
    <cellStyle name="Followed Hyperlink" xfId="969" builtinId="9" hidden="1"/>
    <cellStyle name="Followed Hyperlink" xfId="970" builtinId="9" hidden="1"/>
    <cellStyle name="Followed Hyperlink" xfId="971" builtinId="9" hidden="1"/>
    <cellStyle name="Followed Hyperlink" xfId="972" builtinId="9" hidden="1"/>
    <cellStyle name="Followed Hyperlink" xfId="973" builtinId="9" hidden="1"/>
    <cellStyle name="Followed Hyperlink" xfId="974" builtinId="9" hidden="1"/>
    <cellStyle name="Followed Hyperlink" xfId="975" builtinId="9" hidden="1"/>
    <cellStyle name="Followed Hyperlink" xfId="976" builtinId="9" hidden="1"/>
    <cellStyle name="Followed Hyperlink" xfId="977" builtinId="9" hidden="1"/>
    <cellStyle name="Followed Hyperlink" xfId="978" builtinId="9" hidden="1"/>
    <cellStyle name="Followed Hyperlink" xfId="979" builtinId="9" hidden="1"/>
    <cellStyle name="Followed Hyperlink" xfId="980" builtinId="9" hidden="1"/>
    <cellStyle name="Followed Hyperlink" xfId="981" builtinId="9" hidden="1"/>
    <cellStyle name="Followed Hyperlink" xfId="982" builtinId="9" hidden="1"/>
    <cellStyle name="Followed Hyperlink" xfId="983" builtinId="9" hidden="1"/>
    <cellStyle name="Followed Hyperlink" xfId="984" builtinId="9" hidden="1"/>
    <cellStyle name="Followed Hyperlink" xfId="985" builtinId="9" hidden="1"/>
    <cellStyle name="Followed Hyperlink" xfId="986" builtinId="9" hidden="1"/>
    <cellStyle name="Followed Hyperlink" xfId="987" builtinId="9" hidden="1"/>
    <cellStyle name="Followed Hyperlink" xfId="988" builtinId="9" hidden="1"/>
    <cellStyle name="Followed Hyperlink" xfId="989" builtinId="9" hidden="1"/>
    <cellStyle name="Followed Hyperlink" xfId="990" builtinId="9" hidden="1"/>
    <cellStyle name="Followed Hyperlink" xfId="991" builtinId="9" hidden="1"/>
    <cellStyle name="Followed Hyperlink" xfId="992" builtinId="9" hidden="1"/>
    <cellStyle name="Followed Hyperlink" xfId="993" builtinId="9" hidden="1"/>
    <cellStyle name="Followed Hyperlink" xfId="994" builtinId="9" hidden="1"/>
    <cellStyle name="Followed Hyperlink" xfId="995" builtinId="9" hidden="1"/>
    <cellStyle name="Followed Hyperlink" xfId="996" builtinId="9" hidden="1"/>
    <cellStyle name="Followed Hyperlink" xfId="997" builtinId="9" hidden="1"/>
    <cellStyle name="Followed Hyperlink" xfId="998" builtinId="9" hidden="1"/>
    <cellStyle name="Followed Hyperlink" xfId="999" builtinId="9" hidden="1"/>
    <cellStyle name="Followed Hyperlink" xfId="1000" builtinId="9" hidden="1"/>
    <cellStyle name="Followed Hyperlink" xfId="1001" builtinId="9" hidden="1"/>
    <cellStyle name="Followed Hyperlink" xfId="1002" builtinId="9" hidden="1"/>
    <cellStyle name="Followed Hyperlink" xfId="1003" builtinId="9" hidden="1"/>
    <cellStyle name="Followed Hyperlink" xfId="1004" builtinId="9" hidden="1"/>
    <cellStyle name="Followed Hyperlink" xfId="1005" builtinId="9" hidden="1"/>
    <cellStyle name="Followed Hyperlink" xfId="1006" builtinId="9" hidden="1"/>
    <cellStyle name="Followed Hyperlink" xfId="1007" builtinId="9" hidden="1"/>
    <cellStyle name="Followed Hyperlink" xfId="1008" builtinId="9" hidden="1"/>
    <cellStyle name="Followed Hyperlink" xfId="1009" builtinId="9" hidden="1"/>
    <cellStyle name="Followed Hyperlink" xfId="1010" builtinId="9" hidden="1"/>
    <cellStyle name="Followed Hyperlink" xfId="1011" builtinId="9" hidden="1"/>
    <cellStyle name="Followed Hyperlink" xfId="1012" builtinId="9" hidden="1"/>
    <cellStyle name="Followed Hyperlink" xfId="1013" builtinId="9" hidden="1"/>
    <cellStyle name="Followed Hyperlink" xfId="1014" builtinId="9" hidden="1"/>
    <cellStyle name="Followed Hyperlink" xfId="1015" builtinId="9" hidden="1"/>
    <cellStyle name="Followed Hyperlink" xfId="1016" builtinId="9" hidden="1"/>
    <cellStyle name="Followed Hyperlink" xfId="1017" builtinId="9" hidden="1"/>
    <cellStyle name="Followed Hyperlink" xfId="1018" builtinId="9" hidden="1"/>
    <cellStyle name="Followed Hyperlink" xfId="1019" builtinId="9" hidden="1"/>
    <cellStyle name="Followed Hyperlink" xfId="1020" builtinId="9" hidden="1"/>
    <cellStyle name="Followed Hyperlink" xfId="1021" builtinId="9" hidden="1"/>
    <cellStyle name="Followed Hyperlink" xfId="1022" builtinId="9" hidden="1"/>
    <cellStyle name="Followed Hyperlink" xfId="1023" builtinId="9" hidden="1"/>
    <cellStyle name="Followed Hyperlink" xfId="1024" builtinId="9" hidden="1"/>
    <cellStyle name="Followed Hyperlink" xfId="1025" builtinId="9" hidden="1"/>
    <cellStyle name="Followed Hyperlink" xfId="1026" builtinId="9" hidden="1"/>
    <cellStyle name="Followed Hyperlink" xfId="1027" builtinId="9" hidden="1"/>
    <cellStyle name="Followed Hyperlink" xfId="1028" builtinId="9" hidden="1"/>
    <cellStyle name="Followed Hyperlink" xfId="1029" builtinId="9" hidden="1"/>
    <cellStyle name="Followed Hyperlink" xfId="1030" builtinId="9" hidden="1"/>
    <cellStyle name="Followed Hyperlink" xfId="1031" builtinId="9" hidden="1"/>
    <cellStyle name="Followed Hyperlink" xfId="1032" builtinId="9" hidden="1"/>
    <cellStyle name="Followed Hyperlink" xfId="1033" builtinId="9" hidden="1"/>
    <cellStyle name="Followed Hyperlink" xfId="1034" builtinId="9" hidden="1"/>
    <cellStyle name="Followed Hyperlink" xfId="1035" builtinId="9" hidden="1"/>
    <cellStyle name="Followed Hyperlink" xfId="1036" builtinId="9" hidden="1"/>
    <cellStyle name="Followed Hyperlink" xfId="1037" builtinId="9" hidden="1"/>
    <cellStyle name="Followed Hyperlink" xfId="1038" builtinId="9" hidden="1"/>
    <cellStyle name="Followed Hyperlink" xfId="1039" builtinId="9" hidden="1"/>
    <cellStyle name="Followed Hyperlink" xfId="1040" builtinId="9" hidden="1"/>
    <cellStyle name="Followed Hyperlink" xfId="1041" builtinId="9" hidden="1"/>
    <cellStyle name="Followed Hyperlink" xfId="1042" builtinId="9" hidden="1"/>
    <cellStyle name="Followed Hyperlink" xfId="1043" builtinId="9" hidden="1"/>
    <cellStyle name="Followed Hyperlink" xfId="1044" builtinId="9" hidden="1"/>
    <cellStyle name="Followed Hyperlink" xfId="1045" builtinId="9" hidden="1"/>
    <cellStyle name="Followed Hyperlink" xfId="1046" builtinId="9" hidden="1"/>
    <cellStyle name="Followed Hyperlink" xfId="1047" builtinId="9" hidden="1"/>
    <cellStyle name="Followed Hyperlink" xfId="1048" builtinId="9" hidden="1"/>
    <cellStyle name="Followed Hyperlink" xfId="1049" builtinId="9" hidden="1"/>
    <cellStyle name="Followed Hyperlink" xfId="1050" builtinId="9" hidden="1"/>
    <cellStyle name="Followed Hyperlink" xfId="1051" builtinId="9" hidden="1"/>
    <cellStyle name="Followed Hyperlink" xfId="1052" builtinId="9" hidden="1"/>
    <cellStyle name="Followed Hyperlink" xfId="1053" builtinId="9" hidden="1"/>
    <cellStyle name="Followed Hyperlink" xfId="1054" builtinId="9" hidden="1"/>
    <cellStyle name="Followed Hyperlink" xfId="1055" builtinId="9" hidden="1"/>
    <cellStyle name="Followed Hyperlink" xfId="1056" builtinId="9" hidden="1"/>
    <cellStyle name="Followed Hyperlink" xfId="1057" builtinId="9" hidden="1"/>
    <cellStyle name="Followed Hyperlink" xfId="1058" builtinId="9" hidden="1"/>
    <cellStyle name="Followed Hyperlink" xfId="1059" builtinId="9" hidden="1"/>
    <cellStyle name="Followed Hyperlink" xfId="1060" builtinId="9" hidden="1"/>
    <cellStyle name="Followed Hyperlink" xfId="1061" builtinId="9" hidden="1"/>
    <cellStyle name="Followed Hyperlink" xfId="1062" builtinId="9" hidden="1"/>
    <cellStyle name="Followed Hyperlink" xfId="1063" builtinId="9" hidden="1"/>
    <cellStyle name="Followed Hyperlink" xfId="1064" builtinId="9" hidden="1"/>
    <cellStyle name="Followed Hyperlink" xfId="1065" builtinId="9" hidden="1"/>
    <cellStyle name="Followed Hyperlink" xfId="1066" builtinId="9" hidden="1"/>
    <cellStyle name="Followed Hyperlink" xfId="1067" builtinId="9" hidden="1"/>
    <cellStyle name="Followed Hyperlink" xfId="1068" builtinId="9" hidden="1"/>
    <cellStyle name="Followed Hyperlink" xfId="1069" builtinId="9" hidden="1"/>
    <cellStyle name="Followed Hyperlink" xfId="1070" builtinId="9" hidden="1"/>
    <cellStyle name="Followed Hyperlink" xfId="1071" builtinId="9" hidden="1"/>
    <cellStyle name="Followed Hyperlink" xfId="1072" builtinId="9" hidden="1"/>
    <cellStyle name="Followed Hyperlink" xfId="1073" builtinId="9" hidden="1"/>
    <cellStyle name="Followed Hyperlink" xfId="1074" builtinId="9" hidden="1"/>
    <cellStyle name="Followed Hyperlink" xfId="1075" builtinId="9" hidden="1"/>
    <cellStyle name="Followed Hyperlink" xfId="1076" builtinId="9" hidden="1"/>
    <cellStyle name="Followed Hyperlink" xfId="1077" builtinId="9" hidden="1"/>
    <cellStyle name="Followed Hyperlink" xfId="1078" builtinId="9" hidden="1"/>
    <cellStyle name="Followed Hyperlink" xfId="1079" builtinId="9" hidden="1"/>
    <cellStyle name="Followed Hyperlink" xfId="1080" builtinId="9" hidden="1"/>
    <cellStyle name="Followed Hyperlink" xfId="1081" builtinId="9" hidden="1"/>
    <cellStyle name="Followed Hyperlink" xfId="1082" builtinId="9" hidden="1"/>
    <cellStyle name="Followed Hyperlink" xfId="1083" builtinId="9" hidden="1"/>
    <cellStyle name="Followed Hyperlink" xfId="1084" builtinId="9" hidden="1"/>
    <cellStyle name="Followed Hyperlink" xfId="1085" builtinId="9" hidden="1"/>
    <cellStyle name="Followed Hyperlink" xfId="1086" builtinId="9" hidden="1"/>
    <cellStyle name="Followed Hyperlink" xfId="1087" builtinId="9" hidden="1"/>
    <cellStyle name="Followed Hyperlink" xfId="1088" builtinId="9" hidden="1"/>
    <cellStyle name="Followed Hyperlink" xfId="1089" builtinId="9" hidden="1"/>
    <cellStyle name="Followed Hyperlink" xfId="1090" builtinId="9" hidden="1"/>
    <cellStyle name="Followed Hyperlink" xfId="1091" builtinId="9" hidden="1"/>
    <cellStyle name="Followed Hyperlink" xfId="1092" builtinId="9" hidden="1"/>
    <cellStyle name="Followed Hyperlink" xfId="1093" builtinId="9" hidden="1"/>
    <cellStyle name="Followed Hyperlink" xfId="1094" builtinId="9" hidden="1"/>
    <cellStyle name="Followed Hyperlink" xfId="1095" builtinId="9" hidden="1"/>
    <cellStyle name="Followed Hyperlink" xfId="1096" builtinId="9" hidden="1"/>
    <cellStyle name="Followed Hyperlink" xfId="1097" builtinId="9" hidden="1"/>
    <cellStyle name="Followed Hyperlink" xfId="1098" builtinId="9" hidden="1"/>
    <cellStyle name="Followed Hyperlink" xfId="1099" builtinId="9" hidden="1"/>
    <cellStyle name="Followed Hyperlink" xfId="1100" builtinId="9" hidden="1"/>
    <cellStyle name="Followed Hyperlink" xfId="1101" builtinId="9" hidden="1"/>
    <cellStyle name="Followed Hyperlink" xfId="1102" builtinId="9" hidden="1"/>
    <cellStyle name="Followed Hyperlink" xfId="1103" builtinId="9" hidden="1"/>
    <cellStyle name="Followed Hyperlink" xfId="1104" builtinId="9" hidden="1"/>
    <cellStyle name="Followed Hyperlink" xfId="1105" builtinId="9" hidden="1"/>
    <cellStyle name="Followed Hyperlink" xfId="1106" builtinId="9" hidden="1"/>
    <cellStyle name="Followed Hyperlink" xfId="1107" builtinId="9" hidden="1"/>
    <cellStyle name="Followed Hyperlink" xfId="1108" builtinId="9" hidden="1"/>
    <cellStyle name="Followed Hyperlink" xfId="1109" builtinId="9" hidden="1"/>
    <cellStyle name="Followed Hyperlink" xfId="1110" builtinId="9" hidden="1"/>
    <cellStyle name="Followed Hyperlink" xfId="1111" builtinId="9" hidden="1"/>
    <cellStyle name="Followed Hyperlink" xfId="1112" builtinId="9" hidden="1"/>
    <cellStyle name="Followed Hyperlink" xfId="1113" builtinId="9" hidden="1"/>
    <cellStyle name="Followed Hyperlink" xfId="1114" builtinId="9" hidden="1"/>
    <cellStyle name="Followed Hyperlink" xfId="1115" builtinId="9" hidden="1"/>
    <cellStyle name="Followed Hyperlink" xfId="1116" builtinId="9" hidden="1"/>
    <cellStyle name="Followed Hyperlink" xfId="1117" builtinId="9" hidden="1"/>
    <cellStyle name="Followed Hyperlink" xfId="1118" builtinId="9" hidden="1"/>
    <cellStyle name="Followed Hyperlink" xfId="1119" builtinId="9" hidden="1"/>
    <cellStyle name="Followed Hyperlink" xfId="1120" builtinId="9" hidden="1"/>
    <cellStyle name="Followed Hyperlink" xfId="1121" builtinId="9" hidden="1"/>
    <cellStyle name="Followed Hyperlink" xfId="1122" builtinId="9" hidden="1"/>
    <cellStyle name="Followed Hyperlink" xfId="1123" builtinId="9" hidden="1"/>
    <cellStyle name="Followed Hyperlink" xfId="1124" builtinId="9" hidden="1"/>
    <cellStyle name="Followed Hyperlink" xfId="1125" builtinId="9" hidden="1"/>
    <cellStyle name="Followed Hyperlink" xfId="1126" builtinId="9" hidden="1"/>
    <cellStyle name="Followed Hyperlink" xfId="1127" builtinId="9" hidden="1"/>
    <cellStyle name="Followed Hyperlink" xfId="1128" builtinId="9" hidden="1"/>
    <cellStyle name="Followed Hyperlink" xfId="1129" builtinId="9" hidden="1"/>
    <cellStyle name="Followed Hyperlink" xfId="1130" builtinId="9" hidden="1"/>
    <cellStyle name="Followed Hyperlink" xfId="1131" builtinId="9" hidden="1"/>
    <cellStyle name="Followed Hyperlink" xfId="1132" builtinId="9" hidden="1"/>
    <cellStyle name="Followed Hyperlink" xfId="1133" builtinId="9" hidden="1"/>
    <cellStyle name="Followed Hyperlink" xfId="1134" builtinId="9" hidden="1"/>
    <cellStyle name="Followed Hyperlink" xfId="1135" builtinId="9" hidden="1"/>
    <cellStyle name="Followed Hyperlink" xfId="1136" builtinId="9" hidden="1"/>
    <cellStyle name="Followed Hyperlink" xfId="1137" builtinId="9" hidden="1"/>
    <cellStyle name="Followed Hyperlink" xfId="1138" builtinId="9" hidden="1"/>
    <cellStyle name="Followed Hyperlink" xfId="1139" builtinId="9" hidden="1"/>
    <cellStyle name="Followed Hyperlink" xfId="1140" builtinId="9" hidden="1"/>
    <cellStyle name="Followed Hyperlink" xfId="1141" builtinId="9" hidden="1"/>
    <cellStyle name="Followed Hyperlink" xfId="1142" builtinId="9" hidden="1"/>
    <cellStyle name="Followed Hyperlink" xfId="1143" builtinId="9" hidden="1"/>
    <cellStyle name="Followed Hyperlink" xfId="1144" builtinId="9" hidden="1"/>
    <cellStyle name="Followed Hyperlink" xfId="1145" builtinId="9" hidden="1"/>
    <cellStyle name="Followed Hyperlink" xfId="1146" builtinId="9" hidden="1"/>
    <cellStyle name="Followed Hyperlink" xfId="1147" builtinId="9" hidden="1"/>
    <cellStyle name="Followed Hyperlink" xfId="1151" builtinId="9" hidden="1"/>
    <cellStyle name="Followed Hyperlink" xfId="1152" builtinId="9" hidden="1"/>
    <cellStyle name="Followed Hyperlink" xfId="1153" builtinId="9" hidden="1"/>
    <cellStyle name="Followed Hyperlink" xfId="1154" builtinId="9" hidden="1"/>
    <cellStyle name="Followed Hyperlink" xfId="1155" builtinId="9" hidden="1"/>
    <cellStyle name="Followed Hyperlink" xfId="1156" builtinId="9" hidden="1"/>
    <cellStyle name="Followed Hyperlink" xfId="1157" builtinId="9" hidden="1"/>
    <cellStyle name="Followed Hyperlink" xfId="1158" builtinId="9" hidden="1"/>
    <cellStyle name="Followed Hyperlink" xfId="1159" builtinId="9" hidden="1"/>
    <cellStyle name="Followed Hyperlink" xfId="116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6" builtinId="8" hidden="1"/>
    <cellStyle name="Hyperlink" xfId="58" builtinId="8" hidden="1"/>
    <cellStyle name="Hyperlink" xfId="60" builtinId="8" hidden="1"/>
    <cellStyle name="Hyperlink" xfId="62" builtinId="8" hidden="1"/>
    <cellStyle name="Hyperlink" xfId="64" builtinId="8" hidden="1"/>
    <cellStyle name="Hyperlink" xfId="66" builtinId="8" hidden="1"/>
    <cellStyle name="Hyperlink" xfId="68" builtinId="8" hidden="1"/>
    <cellStyle name="Hyperlink" xfId="70" builtinId="8" hidden="1"/>
    <cellStyle name="Hyperlink" xfId="72" builtinId="8" hidden="1"/>
    <cellStyle name="Hyperlink" xfId="74" builtinId="8" hidden="1"/>
    <cellStyle name="Hyperlink" xfId="76" builtinId="8" hidden="1"/>
    <cellStyle name="Hyperlink" xfId="78" builtinId="8" hidden="1"/>
    <cellStyle name="Hyperlink" xfId="80" builtinId="8" hidden="1"/>
    <cellStyle name="Hyperlink" xfId="82" builtinId="8" hidden="1"/>
    <cellStyle name="Hyperlink" xfId="84" builtinId="8" hidden="1"/>
    <cellStyle name="Hyperlink" xfId="86" builtinId="8" hidden="1"/>
    <cellStyle name="Hyperlink" xfId="88" builtinId="8" hidden="1"/>
    <cellStyle name="Hyperlink" xfId="90" builtinId="8" hidden="1"/>
    <cellStyle name="Hyperlink" xfId="92" builtinId="8" hidden="1"/>
    <cellStyle name="Hyperlink" xfId="94" builtinId="8" hidden="1"/>
    <cellStyle name="Hyperlink" xfId="96" builtinId="8" hidden="1"/>
    <cellStyle name="Hyperlink" xfId="98" builtinId="8" hidden="1"/>
    <cellStyle name="Hyperlink" xfId="100" builtinId="8" hidden="1"/>
    <cellStyle name="Hyperlink" xfId="102" builtinId="8" hidden="1"/>
    <cellStyle name="Hyperlink" xfId="104" builtinId="8" hidden="1"/>
    <cellStyle name="Hyperlink" xfId="106" builtinId="8" hidden="1"/>
    <cellStyle name="Hyperlink" xfId="108" builtinId="8" hidden="1"/>
    <cellStyle name="Hyperlink" xfId="110" builtinId="8" hidden="1"/>
    <cellStyle name="Hyperlink" xfId="112" builtinId="8" hidden="1"/>
    <cellStyle name="Hyperlink" xfId="114" builtinId="8" hidden="1"/>
    <cellStyle name="Hyperlink" xfId="116" builtinId="8" hidden="1"/>
    <cellStyle name="Hyperlink" xfId="118" builtinId="8" hidden="1"/>
    <cellStyle name="Hyperlink" xfId="120" builtinId="8" hidden="1"/>
    <cellStyle name="Hyperlink" xfId="122" builtinId="8" hidden="1"/>
    <cellStyle name="Hyperlink" xfId="124" builtinId="8" hidden="1"/>
    <cellStyle name="Hyperlink" xfId="126" builtinId="8" hidden="1"/>
    <cellStyle name="Hyperlink" xfId="128" builtinId="8" hidden="1"/>
    <cellStyle name="Hyperlink" xfId="130" builtinId="8" hidden="1"/>
    <cellStyle name="Hyperlink" xfId="132" builtinId="8" hidden="1"/>
    <cellStyle name="Hyperlink" xfId="134" builtinId="8" hidden="1"/>
    <cellStyle name="Hyperlink" xfId="136" builtinId="8" hidden="1"/>
    <cellStyle name="Hyperlink" xfId="138" builtinId="8" hidden="1"/>
    <cellStyle name="Hyperlink" xfId="140" builtinId="8" hidden="1"/>
    <cellStyle name="Hyperlink" xfId="142" builtinId="8" hidden="1"/>
    <cellStyle name="Hyperlink" xfId="144" builtinId="8" hidden="1"/>
    <cellStyle name="Hyperlink" xfId="146" builtinId="8" hidden="1"/>
    <cellStyle name="Hyperlink" xfId="148" builtinId="8" hidden="1"/>
    <cellStyle name="Hyperlink" xfId="150" builtinId="8" hidden="1"/>
    <cellStyle name="Hyperlink" xfId="152" builtinId="8" hidden="1"/>
    <cellStyle name="Hyperlink" xfId="154" builtinId="8" hidden="1"/>
    <cellStyle name="Hyperlink" xfId="156" builtinId="8" hidden="1"/>
    <cellStyle name="Hyperlink" xfId="158" builtinId="8" hidden="1"/>
    <cellStyle name="Hyperlink" xfId="160" builtinId="8" hidden="1"/>
    <cellStyle name="Hyperlink" xfId="162" builtinId="8" hidden="1"/>
    <cellStyle name="Hyperlink" xfId="164" builtinId="8" hidden="1"/>
    <cellStyle name="Hyperlink" xfId="166" builtinId="8" hidden="1"/>
    <cellStyle name="Hyperlink" xfId="168" builtinId="8" hidden="1"/>
    <cellStyle name="Hyperlink" xfId="170" builtinId="8" hidden="1"/>
    <cellStyle name="Hyperlink" xfId="172" builtinId="8" hidden="1"/>
    <cellStyle name="Hyperlink" xfId="174" builtinId="8" hidden="1"/>
    <cellStyle name="Hyperlink" xfId="176" builtinId="8" hidden="1"/>
    <cellStyle name="Hyperlink" xfId="178" builtinId="8" hidden="1"/>
    <cellStyle name="Hyperlink" xfId="180" builtinId="8" hidden="1"/>
    <cellStyle name="Hyperlink" xfId="182" builtinId="8" hidden="1"/>
    <cellStyle name="Hyperlink" xfId="184" builtinId="8" hidden="1"/>
    <cellStyle name="Hyperlink" xfId="186" builtinId="8" hidden="1"/>
    <cellStyle name="Hyperlink" xfId="188" builtinId="8" hidden="1"/>
    <cellStyle name="Hyperlink" xfId="190" builtinId="8" hidden="1"/>
    <cellStyle name="Hyperlink" xfId="192" builtinId="8" hidden="1"/>
    <cellStyle name="Hyperlink" xfId="194" builtinId="8" hidden="1"/>
    <cellStyle name="Hyperlink" xfId="196" builtinId="8" hidden="1"/>
    <cellStyle name="Hyperlink" xfId="198" builtinId="8" hidden="1"/>
    <cellStyle name="Hyperlink" xfId="200" builtinId="8" hidden="1"/>
    <cellStyle name="Hyperlink" xfId="202" builtinId="8" hidden="1"/>
    <cellStyle name="Hyperlink" xfId="204" builtinId="8" hidden="1"/>
    <cellStyle name="Hyperlink" xfId="206" builtinId="8" hidden="1"/>
    <cellStyle name="Hyperlink" xfId="208" builtinId="8" hidden="1"/>
    <cellStyle name="Hyperlink" xfId="210" builtinId="8" hidden="1"/>
    <cellStyle name="Hyperlink" xfId="212" builtinId="8" hidden="1"/>
    <cellStyle name="Hyperlink" xfId="214" builtinId="8" hidden="1"/>
    <cellStyle name="Hyperlink" xfId="216" builtinId="8" hidden="1"/>
    <cellStyle name="Hyperlink" xfId="218" builtinId="8" hidden="1"/>
    <cellStyle name="Hyperlink" xfId="220" builtinId="8" hidden="1"/>
    <cellStyle name="Hyperlink" xfId="222" builtinId="8" hidden="1"/>
    <cellStyle name="Hyperlink" xfId="224" builtinId="8" hidden="1"/>
    <cellStyle name="Hyperlink" xfId="226" builtinId="8" hidden="1"/>
    <cellStyle name="Hyperlink" xfId="228" builtinId="8" hidden="1"/>
    <cellStyle name="Hyperlink" xfId="230" builtinId="8" hidden="1"/>
    <cellStyle name="Hyperlink" xfId="232" builtinId="8" hidden="1"/>
    <cellStyle name="Hyperlink" xfId="234" builtinId="8" hidden="1"/>
    <cellStyle name="Hyperlink" xfId="236" builtinId="8" hidden="1"/>
    <cellStyle name="Hyperlink" xfId="238" builtinId="8" hidden="1"/>
    <cellStyle name="Hyperlink" xfId="240" builtinId="8" hidden="1"/>
    <cellStyle name="Hyperlink" xfId="242" builtinId="8" hidden="1"/>
    <cellStyle name="Hyperlink" xfId="244" builtinId="8" hidden="1"/>
    <cellStyle name="Hyperlink" xfId="246" builtinId="8" hidden="1"/>
    <cellStyle name="Hyperlink" xfId="248" builtinId="8" hidden="1"/>
    <cellStyle name="Hyperlink" xfId="250" builtinId="8" hidden="1"/>
    <cellStyle name="Hyperlink" xfId="252" builtinId="8" hidden="1"/>
    <cellStyle name="Hyperlink" xfId="254" builtinId="8" hidden="1"/>
    <cellStyle name="Hyperlink" xfId="256" builtinId="8" hidden="1"/>
    <cellStyle name="Hyperlink" xfId="258" builtinId="8" hidden="1"/>
    <cellStyle name="Hyperlink" xfId="260" builtinId="8" hidden="1"/>
    <cellStyle name="Hyperlink" xfId="262" builtinId="8" hidden="1"/>
    <cellStyle name="Hyperlink" xfId="264" builtinId="8" hidden="1"/>
    <cellStyle name="Hyperlink" xfId="266" builtinId="8" hidden="1"/>
    <cellStyle name="Hyperlink" xfId="268" builtinId="8" hidden="1"/>
    <cellStyle name="Hyperlink" xfId="270" builtinId="8" hidden="1"/>
    <cellStyle name="Hyperlink" xfId="272" builtinId="8" hidden="1"/>
    <cellStyle name="Hyperlink" xfId="274" builtinId="8" hidden="1"/>
    <cellStyle name="Hyperlink" xfId="276" builtinId="8" hidden="1"/>
    <cellStyle name="Hyperlink" xfId="278" builtinId="8" hidden="1"/>
    <cellStyle name="Hyperlink" xfId="280" builtinId="8" hidden="1"/>
    <cellStyle name="Hyperlink" xfId="282" builtinId="8" hidden="1"/>
    <cellStyle name="Hyperlink" xfId="284" builtinId="8" hidden="1"/>
    <cellStyle name="Hyperlink" xfId="286" builtinId="8" hidden="1"/>
    <cellStyle name="Hyperlink" xfId="288" builtinId="8" hidden="1"/>
    <cellStyle name="Hyperlink" xfId="290" builtinId="8" hidden="1"/>
    <cellStyle name="Hyperlink" xfId="292" builtinId="8" hidden="1"/>
    <cellStyle name="Hyperlink" xfId="294" builtinId="8" hidden="1"/>
    <cellStyle name="Hyperlink" xfId="296" builtinId="8" hidden="1"/>
    <cellStyle name="Hyperlink" xfId="298" builtinId="8" hidden="1"/>
    <cellStyle name="Hyperlink" xfId="300" builtinId="8" hidden="1"/>
    <cellStyle name="Hyperlink" xfId="302" builtinId="8" hidden="1"/>
    <cellStyle name="Hyperlink" xfId="304" builtinId="8" hidden="1"/>
    <cellStyle name="Hyperlink" xfId="306" builtinId="8" hidden="1"/>
    <cellStyle name="Hyperlink" xfId="308" builtinId="8" hidden="1"/>
    <cellStyle name="Hyperlink" xfId="310" builtinId="8" hidden="1"/>
    <cellStyle name="Hyperlink" xfId="312" builtinId="8" hidden="1"/>
    <cellStyle name="Hyperlink" xfId="314" builtinId="8" hidden="1"/>
    <cellStyle name="Hyperlink" xfId="316" builtinId="8" hidden="1"/>
    <cellStyle name="Hyperlink" xfId="318" builtinId="8" hidden="1"/>
    <cellStyle name="Hyperlink" xfId="320" builtinId="8" hidden="1"/>
    <cellStyle name="Hyperlink" xfId="322" builtinId="8" hidden="1"/>
    <cellStyle name="Hyperlink" xfId="324" builtinId="8" hidden="1"/>
    <cellStyle name="Hyperlink" xfId="326" builtinId="8" hidden="1"/>
    <cellStyle name="Hyperlink" xfId="328" builtinId="8" hidden="1"/>
    <cellStyle name="Hyperlink" xfId="330" builtinId="8" hidden="1"/>
    <cellStyle name="Hyperlink" xfId="332" builtinId="8" hidden="1"/>
    <cellStyle name="Hyperlink" xfId="334" builtinId="8" hidden="1"/>
    <cellStyle name="Hyperlink" xfId="336" builtinId="8" hidden="1"/>
    <cellStyle name="Hyperlink" xfId="338" builtinId="8" hidden="1"/>
    <cellStyle name="Hyperlink" xfId="340" builtinId="8" hidden="1"/>
    <cellStyle name="Hyperlink" xfId="342" builtinId="8" hidden="1"/>
    <cellStyle name="Hyperlink" xfId="344" builtinId="8" hidden="1"/>
    <cellStyle name="Hyperlink" xfId="346" builtinId="8" hidden="1"/>
    <cellStyle name="Hyperlink" xfId="348" builtinId="8" hidden="1"/>
    <cellStyle name="Hyperlink" xfId="350" builtinId="8"/>
    <cellStyle name="Normal" xfId="0" builtinId="0"/>
    <cellStyle name="Normal 2" xfId="55"/>
    <cellStyle name="Percent" xfId="1148" builtinId="5"/>
  </cellStyles>
  <dxfs count="0"/>
  <tableStyles count="0" defaultTableStyle="TableStyleMedium9" defaultPivotStyle="PivotStyleMedium4"/>
  <colors>
    <mruColors>
      <color rgb="FF0432FF"/>
      <color rgb="FFFF2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1.xml"/><Relationship Id="rId14" Type="http://schemas.openxmlformats.org/officeDocument/2006/relationships/worksheet" Target="worksheets/sheet12.xml"/><Relationship Id="rId15" Type="http://schemas.openxmlformats.org/officeDocument/2006/relationships/worksheet" Target="worksheets/sheet13.xml"/><Relationship Id="rId16" Type="http://schemas.openxmlformats.org/officeDocument/2006/relationships/worksheet" Target="worksheets/sheet14.xml"/><Relationship Id="rId17" Type="http://schemas.openxmlformats.org/officeDocument/2006/relationships/worksheet" Target="worksheets/sheet15.xml"/><Relationship Id="rId18" Type="http://schemas.openxmlformats.org/officeDocument/2006/relationships/worksheet" Target="worksheets/sheet16.xml"/><Relationship Id="rId19" Type="http://schemas.openxmlformats.org/officeDocument/2006/relationships/worksheet" Target="worksheets/sheet17.xml"/><Relationship Id="rId50" Type="http://schemas.openxmlformats.org/officeDocument/2006/relationships/worksheet" Target="worksheets/sheet48.xml"/><Relationship Id="rId51" Type="http://schemas.openxmlformats.org/officeDocument/2006/relationships/worksheet" Target="worksheets/sheet49.xml"/><Relationship Id="rId52" Type="http://schemas.openxmlformats.org/officeDocument/2006/relationships/worksheet" Target="worksheets/sheet50.xml"/><Relationship Id="rId53" Type="http://schemas.openxmlformats.org/officeDocument/2006/relationships/worksheet" Target="worksheets/sheet51.xml"/><Relationship Id="rId54" Type="http://schemas.openxmlformats.org/officeDocument/2006/relationships/theme" Target="theme/theme1.xml"/><Relationship Id="rId55" Type="http://schemas.openxmlformats.org/officeDocument/2006/relationships/styles" Target="styles.xml"/><Relationship Id="rId56" Type="http://schemas.openxmlformats.org/officeDocument/2006/relationships/sharedStrings" Target="sharedStrings.xml"/><Relationship Id="rId57" Type="http://schemas.openxmlformats.org/officeDocument/2006/relationships/calcChain" Target="calcChain.xml"/><Relationship Id="rId40" Type="http://schemas.openxmlformats.org/officeDocument/2006/relationships/worksheet" Target="worksheets/sheet38.xml"/><Relationship Id="rId41" Type="http://schemas.openxmlformats.org/officeDocument/2006/relationships/worksheet" Target="worksheets/sheet39.xml"/><Relationship Id="rId42" Type="http://schemas.openxmlformats.org/officeDocument/2006/relationships/worksheet" Target="worksheets/sheet40.xml"/><Relationship Id="rId43" Type="http://schemas.openxmlformats.org/officeDocument/2006/relationships/worksheet" Target="worksheets/sheet41.xml"/><Relationship Id="rId44" Type="http://schemas.openxmlformats.org/officeDocument/2006/relationships/worksheet" Target="worksheets/sheet42.xml"/><Relationship Id="rId45" Type="http://schemas.openxmlformats.org/officeDocument/2006/relationships/worksheet" Target="worksheets/sheet43.xml"/><Relationship Id="rId46" Type="http://schemas.openxmlformats.org/officeDocument/2006/relationships/worksheet" Target="worksheets/sheet44.xml"/><Relationship Id="rId47" Type="http://schemas.openxmlformats.org/officeDocument/2006/relationships/worksheet" Target="worksheets/sheet45.xml"/><Relationship Id="rId48" Type="http://schemas.openxmlformats.org/officeDocument/2006/relationships/worksheet" Target="worksheets/sheet46.xml"/><Relationship Id="rId49" Type="http://schemas.openxmlformats.org/officeDocument/2006/relationships/worksheet" Target="worksheets/sheet47.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chartsheet" Target="chartsheets/sheet1.xml"/><Relationship Id="rId30" Type="http://schemas.openxmlformats.org/officeDocument/2006/relationships/worksheet" Target="worksheets/sheet28.xml"/><Relationship Id="rId31" Type="http://schemas.openxmlformats.org/officeDocument/2006/relationships/worksheet" Target="worksheets/sheet29.xml"/><Relationship Id="rId32" Type="http://schemas.openxmlformats.org/officeDocument/2006/relationships/worksheet" Target="worksheets/sheet30.xml"/><Relationship Id="rId33" Type="http://schemas.openxmlformats.org/officeDocument/2006/relationships/worksheet" Target="worksheets/sheet31.xml"/><Relationship Id="rId34" Type="http://schemas.openxmlformats.org/officeDocument/2006/relationships/worksheet" Target="worksheets/sheet32.xml"/><Relationship Id="rId35" Type="http://schemas.openxmlformats.org/officeDocument/2006/relationships/worksheet" Target="worksheets/sheet33.xml"/><Relationship Id="rId36" Type="http://schemas.openxmlformats.org/officeDocument/2006/relationships/worksheet" Target="worksheets/sheet34.xml"/><Relationship Id="rId37" Type="http://schemas.openxmlformats.org/officeDocument/2006/relationships/worksheet" Target="worksheets/sheet35.xml"/><Relationship Id="rId38" Type="http://schemas.openxmlformats.org/officeDocument/2006/relationships/worksheet" Target="worksheets/sheet36.xml"/><Relationship Id="rId39" Type="http://schemas.openxmlformats.org/officeDocument/2006/relationships/worksheet" Target="worksheets/sheet37.xml"/><Relationship Id="rId20" Type="http://schemas.openxmlformats.org/officeDocument/2006/relationships/worksheet" Target="worksheets/sheet18.xml"/><Relationship Id="rId21" Type="http://schemas.openxmlformats.org/officeDocument/2006/relationships/worksheet" Target="worksheets/sheet19.xml"/><Relationship Id="rId22" Type="http://schemas.openxmlformats.org/officeDocument/2006/relationships/worksheet" Target="worksheets/sheet20.xml"/><Relationship Id="rId23" Type="http://schemas.openxmlformats.org/officeDocument/2006/relationships/worksheet" Target="worksheets/sheet21.xml"/><Relationship Id="rId24" Type="http://schemas.openxmlformats.org/officeDocument/2006/relationships/worksheet" Target="worksheets/sheet22.xml"/><Relationship Id="rId25" Type="http://schemas.openxmlformats.org/officeDocument/2006/relationships/worksheet" Target="worksheets/sheet23.xml"/><Relationship Id="rId26" Type="http://schemas.openxmlformats.org/officeDocument/2006/relationships/worksheet" Target="worksheets/sheet24.xml"/><Relationship Id="rId27" Type="http://schemas.openxmlformats.org/officeDocument/2006/relationships/worksheet" Target="worksheets/sheet25.xml"/><Relationship Id="rId28" Type="http://schemas.openxmlformats.org/officeDocument/2006/relationships/worksheet" Target="worksheets/sheet26.xml"/><Relationship Id="rId29" Type="http://schemas.openxmlformats.org/officeDocument/2006/relationships/worksheet" Target="worksheets/sheet27.xml"/><Relationship Id="rId10" Type="http://schemas.openxmlformats.org/officeDocument/2006/relationships/worksheet" Target="worksheets/sheet9.xml"/><Relationship Id="rId11" Type="http://schemas.openxmlformats.org/officeDocument/2006/relationships/chartsheet" Target="chartsheets/sheet2.xml"/><Relationship Id="rId12" Type="http://schemas.openxmlformats.org/officeDocument/2006/relationships/worksheet" Target="worksheets/sheet10.xml"/></Relationships>
</file>

<file path=xl/charts/_rels/chart2.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title>
      <c:tx>
        <c:rich>
          <a:bodyPr/>
          <a:lstStyle/>
          <a:p>
            <a:pPr>
              <a:defRPr/>
            </a:pPr>
            <a:r>
              <a:rPr lang="en-US"/>
              <a:t>Patent</a:t>
            </a:r>
            <a:r>
              <a:rPr lang="en-US" baseline="0"/>
              <a:t> Royalties as % of Value of Mobile Phones </a:t>
            </a:r>
          </a:p>
          <a:p>
            <a:pPr>
              <a:defRPr/>
            </a:pPr>
            <a:r>
              <a:rPr lang="en-US" baseline="0"/>
              <a:t>(Smart and Feature) Shipped, 2007-2015</a:t>
            </a:r>
            <a:endParaRPr lang="en-US"/>
          </a:p>
        </c:rich>
      </c:tx>
      <c:overlay val="0"/>
    </c:title>
    <c:autoTitleDeleted val="0"/>
    <c:plotArea>
      <c:layout/>
      <c:barChart>
        <c:barDir val="col"/>
        <c:grouping val="clustered"/>
        <c:varyColors val="0"/>
        <c:ser>
          <c:idx val="0"/>
          <c:order val="0"/>
          <c:tx>
            <c:strRef>
              <c:f>'1.4 Royalty Yield Series'!$G$9</c:f>
              <c:strCache>
                <c:ptCount val="1"/>
                <c:pt idx="0">
                  <c:v>Total, Firms Covered Since 2007 as % Mobile Phone Revenues</c:v>
                </c:pt>
              </c:strCache>
            </c:strRef>
          </c:tx>
          <c:invertIfNegative val="0"/>
          <c:cat>
            <c:numRef>
              <c:f>'1.4 Royalty Yield Series'!$B$10:$B$18</c:f>
              <c:numCache>
                <c:formatCode>General</c:formatCode>
                <c:ptCount val="9"/>
                <c:pt idx="0">
                  <c:v>2007.0</c:v>
                </c:pt>
                <c:pt idx="1">
                  <c:v>2008.0</c:v>
                </c:pt>
                <c:pt idx="2">
                  <c:v>2009.0</c:v>
                </c:pt>
                <c:pt idx="3">
                  <c:v>2010.0</c:v>
                </c:pt>
                <c:pt idx="4">
                  <c:v>2011.0</c:v>
                </c:pt>
                <c:pt idx="5">
                  <c:v>2012.0</c:v>
                </c:pt>
                <c:pt idx="6">
                  <c:v>2013.0</c:v>
                </c:pt>
                <c:pt idx="7">
                  <c:v>2014.0</c:v>
                </c:pt>
                <c:pt idx="8">
                  <c:v>2015.0</c:v>
                </c:pt>
              </c:numCache>
            </c:numRef>
          </c:cat>
          <c:val>
            <c:numRef>
              <c:f>'1.4 Royalty Yield Series'!$G$10:$G$18</c:f>
              <c:numCache>
                <c:formatCode>0.0%</c:formatCode>
                <c:ptCount val="9"/>
                <c:pt idx="0">
                  <c:v>0.0212255020947064</c:v>
                </c:pt>
                <c:pt idx="1">
                  <c:v>0.02278007287391</c:v>
                </c:pt>
                <c:pt idx="2">
                  <c:v>0.0259584174319755</c:v>
                </c:pt>
                <c:pt idx="3">
                  <c:v>0.0240142919568115</c:v>
                </c:pt>
                <c:pt idx="4">
                  <c:v>0.0268771011295983</c:v>
                </c:pt>
                <c:pt idx="5">
                  <c:v>0.0284824182071567</c:v>
                </c:pt>
                <c:pt idx="6">
                  <c:v>0.0270929164380982</c:v>
                </c:pt>
                <c:pt idx="7">
                  <c:v>0.0243019995702484</c:v>
                </c:pt>
                <c:pt idx="8">
                  <c:v>0.0247884763370398</c:v>
                </c:pt>
              </c:numCache>
            </c:numRef>
          </c:val>
        </c:ser>
        <c:ser>
          <c:idx val="1"/>
          <c:order val="1"/>
          <c:tx>
            <c:strRef>
              <c:f>'1.4 Royalty Yield Series'!$H$9</c:f>
              <c:strCache>
                <c:ptCount val="1"/>
                <c:pt idx="0">
                  <c:v>Total, Firms Covered Since 2009 as % Mobile Phone Revenues</c:v>
                </c:pt>
              </c:strCache>
            </c:strRef>
          </c:tx>
          <c:invertIfNegative val="0"/>
          <c:cat>
            <c:numRef>
              <c:f>'1.4 Royalty Yield Series'!$B$10:$B$18</c:f>
              <c:numCache>
                <c:formatCode>General</c:formatCode>
                <c:ptCount val="9"/>
                <c:pt idx="0">
                  <c:v>2007.0</c:v>
                </c:pt>
                <c:pt idx="1">
                  <c:v>2008.0</c:v>
                </c:pt>
                <c:pt idx="2">
                  <c:v>2009.0</c:v>
                </c:pt>
                <c:pt idx="3">
                  <c:v>2010.0</c:v>
                </c:pt>
                <c:pt idx="4">
                  <c:v>2011.0</c:v>
                </c:pt>
                <c:pt idx="5">
                  <c:v>2012.0</c:v>
                </c:pt>
                <c:pt idx="6">
                  <c:v>2013.0</c:v>
                </c:pt>
                <c:pt idx="7">
                  <c:v>2014.0</c:v>
                </c:pt>
                <c:pt idx="8">
                  <c:v>2015.0</c:v>
                </c:pt>
              </c:numCache>
            </c:numRef>
          </c:cat>
          <c:val>
            <c:numRef>
              <c:f>'1.4 Royalty Yield Series'!$H$10:$H$18</c:f>
              <c:numCache>
                <c:formatCode>General</c:formatCode>
                <c:ptCount val="9"/>
                <c:pt idx="2" formatCode="0.0%">
                  <c:v>0.0304250498533342</c:v>
                </c:pt>
                <c:pt idx="3" formatCode="0.0%">
                  <c:v>0.0276610421761243</c:v>
                </c:pt>
                <c:pt idx="4" formatCode="0.0%">
                  <c:v>0.032231654903204</c:v>
                </c:pt>
                <c:pt idx="5" formatCode="0.0%">
                  <c:v>0.0324935736991417</c:v>
                </c:pt>
                <c:pt idx="6" formatCode="0.0%">
                  <c:v>0.0338524303932259</c:v>
                </c:pt>
                <c:pt idx="7" formatCode="0.0%">
                  <c:v>0.0323125145484433</c:v>
                </c:pt>
                <c:pt idx="8" formatCode="0.0%">
                  <c:v>0.030068110434109</c:v>
                </c:pt>
              </c:numCache>
            </c:numRef>
          </c:val>
        </c:ser>
        <c:dLbls>
          <c:showLegendKey val="0"/>
          <c:showVal val="0"/>
          <c:showCatName val="0"/>
          <c:showSerName val="0"/>
          <c:showPercent val="0"/>
          <c:showBubbleSize val="0"/>
        </c:dLbls>
        <c:gapWidth val="150"/>
        <c:axId val="2126954488"/>
        <c:axId val="2126957304"/>
      </c:barChart>
      <c:catAx>
        <c:axId val="2126954488"/>
        <c:scaling>
          <c:orientation val="minMax"/>
        </c:scaling>
        <c:delete val="0"/>
        <c:axPos val="b"/>
        <c:numFmt formatCode="General" sourceLinked="1"/>
        <c:majorTickMark val="none"/>
        <c:minorTickMark val="none"/>
        <c:tickLblPos val="nextTo"/>
        <c:crossAx val="2126957304"/>
        <c:crosses val="autoZero"/>
        <c:auto val="1"/>
        <c:lblAlgn val="ctr"/>
        <c:lblOffset val="100"/>
        <c:noMultiLvlLbl val="0"/>
      </c:catAx>
      <c:valAx>
        <c:axId val="2126957304"/>
        <c:scaling>
          <c:orientation val="minMax"/>
          <c:max val="0.035"/>
        </c:scaling>
        <c:delete val="0"/>
        <c:axPos val="l"/>
        <c:majorGridlines>
          <c:spPr>
            <a:ln>
              <a:noFill/>
            </a:ln>
          </c:spPr>
        </c:majorGridlines>
        <c:numFmt formatCode="0.0%" sourceLinked="0"/>
        <c:majorTickMark val="none"/>
        <c:minorTickMark val="none"/>
        <c:tickLblPos val="nextTo"/>
        <c:crossAx val="2126954488"/>
        <c:crosses val="autoZero"/>
        <c:crossBetween val="between"/>
      </c:valAx>
    </c:plotArea>
    <c:legend>
      <c:legendPos val="t"/>
      <c:overlay val="0"/>
    </c:legend>
    <c:plotVisOnly val="1"/>
    <c:dispBlanksAs val="gap"/>
    <c:showDLblsOverMax val="0"/>
  </c:chart>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tx1"/>
                </a:solidFill>
                <a:latin typeface="+mn-lt"/>
                <a:ea typeface="+mn-ea"/>
                <a:cs typeface="+mn-cs"/>
              </a:defRPr>
            </a:pPr>
            <a:r>
              <a:rPr lang="en-US"/>
              <a:t>Mobile Phone Economics</a:t>
            </a:r>
            <a:r>
              <a:rPr lang="en-US" baseline="0"/>
              <a:t> (2015)</a:t>
            </a:r>
            <a:endParaRPr lang="en-US"/>
          </a:p>
        </c:rich>
      </c:tx>
      <c:overlay val="0"/>
      <c:spPr>
        <a:noFill/>
        <a:ln>
          <a:noFill/>
        </a:ln>
        <a:effectLst/>
      </c:spPr>
    </c:title>
    <c:autoTitleDeleted val="0"/>
    <c:plotArea>
      <c:layout/>
      <c:pieChart>
        <c:varyColors val="1"/>
        <c:ser>
          <c:idx val="0"/>
          <c:order val="0"/>
          <c:explosion val="25"/>
          <c:dPt>
            <c:idx val="0"/>
            <c:bubble3D val="0"/>
            <c:spPr>
              <a:gradFill rotWithShape="1">
                <a:gsLst>
                  <a:gs pos="0">
                    <a:schemeClr val="accent1">
                      <a:tint val="100000"/>
                      <a:shade val="100000"/>
                      <a:satMod val="130000"/>
                    </a:schemeClr>
                  </a:gs>
                  <a:gs pos="100000">
                    <a:schemeClr val="accent1">
                      <a:tint val="50000"/>
                      <a:shade val="100000"/>
                      <a:satMod val="350000"/>
                    </a:schemeClr>
                  </a:gs>
                </a:gsLst>
                <a:lin ang="16200000" scaled="0"/>
              </a:gradFill>
              <a:ln>
                <a:noFill/>
              </a:ln>
              <a:effectLst>
                <a:outerShdw blurRad="40000" dist="23000" dir="5400000" rotWithShape="0">
                  <a:srgbClr val="000000">
                    <a:alpha val="35000"/>
                  </a:srgbClr>
                </a:outerShdw>
              </a:effectLst>
            </c:spPr>
          </c:dPt>
          <c:dPt>
            <c:idx val="1"/>
            <c:bubble3D val="0"/>
            <c:spPr>
              <a:gradFill rotWithShape="1">
                <a:gsLst>
                  <a:gs pos="0">
                    <a:schemeClr val="accent2">
                      <a:tint val="100000"/>
                      <a:shade val="100000"/>
                      <a:satMod val="130000"/>
                    </a:schemeClr>
                  </a:gs>
                  <a:gs pos="100000">
                    <a:schemeClr val="accent2">
                      <a:tint val="50000"/>
                      <a:shade val="100000"/>
                      <a:satMod val="350000"/>
                    </a:schemeClr>
                  </a:gs>
                </a:gsLst>
                <a:lin ang="16200000" scaled="0"/>
              </a:gradFill>
              <a:ln>
                <a:noFill/>
              </a:ln>
              <a:effectLst>
                <a:outerShdw blurRad="40000" dist="23000" dir="5400000" rotWithShape="0">
                  <a:srgbClr val="000000">
                    <a:alpha val="35000"/>
                  </a:srgbClr>
                </a:outerShdw>
              </a:effectLst>
            </c:spPr>
          </c:dPt>
          <c:dPt>
            <c:idx val="2"/>
            <c:bubble3D val="0"/>
            <c:spPr>
              <a:gradFill rotWithShape="1">
                <a:gsLst>
                  <a:gs pos="0">
                    <a:schemeClr val="accent3">
                      <a:tint val="100000"/>
                      <a:shade val="100000"/>
                      <a:satMod val="130000"/>
                    </a:schemeClr>
                  </a:gs>
                  <a:gs pos="100000">
                    <a:schemeClr val="accent3">
                      <a:tint val="50000"/>
                      <a:shade val="100000"/>
                      <a:satMod val="350000"/>
                    </a:schemeClr>
                  </a:gs>
                </a:gsLst>
                <a:lin ang="16200000" scaled="0"/>
              </a:gradFill>
              <a:ln>
                <a:noFill/>
              </a:ln>
              <a:effectLst>
                <a:outerShdw blurRad="40000" dist="23000" dir="5400000" rotWithShape="0">
                  <a:srgbClr val="000000">
                    <a:alpha val="35000"/>
                  </a:srgbClr>
                </a:outerShdw>
              </a:effectLst>
            </c:spPr>
          </c:dPt>
          <c:dPt>
            <c:idx val="3"/>
            <c:bubble3D val="0"/>
            <c:spPr>
              <a:gradFill rotWithShape="1">
                <a:gsLst>
                  <a:gs pos="0">
                    <a:schemeClr val="accent4">
                      <a:tint val="100000"/>
                      <a:shade val="100000"/>
                      <a:satMod val="130000"/>
                    </a:schemeClr>
                  </a:gs>
                  <a:gs pos="100000">
                    <a:schemeClr val="accent4">
                      <a:tint val="50000"/>
                      <a:shade val="100000"/>
                      <a:satMod val="350000"/>
                    </a:schemeClr>
                  </a:gs>
                </a:gsLst>
                <a:lin ang="16200000" scaled="0"/>
              </a:gradFill>
              <a:ln>
                <a:noFill/>
              </a:ln>
              <a:effectLst>
                <a:outerShdw blurRad="40000" dist="23000" dir="5400000" rotWithShape="0">
                  <a:srgbClr val="000000">
                    <a:alpha val="35000"/>
                  </a:srgbClr>
                </a:outerShdw>
              </a:effectLst>
            </c:spPr>
          </c:dPt>
          <c:dPt>
            <c:idx val="4"/>
            <c:bubble3D val="0"/>
            <c:spPr>
              <a:gradFill rotWithShape="1">
                <a:gsLst>
                  <a:gs pos="0">
                    <a:schemeClr val="accent5">
                      <a:tint val="100000"/>
                      <a:shade val="100000"/>
                      <a:satMod val="130000"/>
                    </a:schemeClr>
                  </a:gs>
                  <a:gs pos="100000">
                    <a:schemeClr val="accent5">
                      <a:tint val="50000"/>
                      <a:shade val="100000"/>
                      <a:satMod val="350000"/>
                    </a:schemeClr>
                  </a:gs>
                </a:gsLst>
                <a:lin ang="16200000" scaled="0"/>
              </a:gradFill>
              <a:ln>
                <a:noFill/>
              </a:ln>
              <a:effectLst>
                <a:outerShdw blurRad="40000" dist="23000" dir="5400000" rotWithShape="0">
                  <a:srgbClr val="000000">
                    <a:alpha val="35000"/>
                  </a:srgbClr>
                </a:outerShdw>
              </a:effectLst>
            </c:spPr>
          </c:dPt>
          <c:dLbls>
            <c:numFmt formatCode="0.0%" sourceLinked="0"/>
            <c:spPr>
              <a:noFill/>
              <a:ln>
                <a:noFill/>
              </a:ln>
              <a:effectLst/>
            </c:spPr>
            <c:txPr>
              <a:bodyPr rot="0" spcFirstLastPara="1" vertOverflow="ellipsis" vert="horz" wrap="square" anchor="ctr" anchorCtr="1"/>
              <a:lstStyle/>
              <a:p>
                <a:pPr>
                  <a:defRPr sz="1200" b="1" i="0" u="none" strike="noStrike" kern="1200" baseline="0">
                    <a:solidFill>
                      <a:schemeClr val="tx1"/>
                    </a:solidFill>
                    <a:latin typeface="+mn-lt"/>
                    <a:ea typeface="+mn-ea"/>
                    <a:cs typeface="+mn-cs"/>
                  </a:defRPr>
                </a:pPr>
                <a:endParaRPr lang="en-US"/>
              </a:p>
            </c:txPr>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15:layout/>
              </c:ext>
            </c:extLst>
          </c:dLbls>
          <c:cat>
            <c:strRef>
              <c:f>'1.5 Economic Summary 2015'!$B$9:$B$13</c:f>
              <c:strCache>
                <c:ptCount val="5"/>
                <c:pt idx="0">
                  <c:v>Patent License Cost</c:v>
                </c:pt>
                <c:pt idx="1">
                  <c:v>Baseband Processor Cost</c:v>
                </c:pt>
                <c:pt idx="2">
                  <c:v>Other Semic Cost</c:v>
                </c:pt>
                <c:pt idx="3">
                  <c:v>Other Costs</c:v>
                </c:pt>
                <c:pt idx="4">
                  <c:v>OEM Operating Profits</c:v>
                </c:pt>
              </c:strCache>
            </c:strRef>
          </c:cat>
          <c:val>
            <c:numRef>
              <c:f>'1.5 Economic Summary 2015'!$C$9:$C$13</c:f>
              <c:numCache>
                <c:formatCode>_("$"* #,##0_);_("$"* \(#,##0\);_("$"* "-"??_);_(@_)</c:formatCode>
                <c:ptCount val="5"/>
                <c:pt idx="0">
                  <c:v>14274.32379917533</c:v>
                </c:pt>
                <c:pt idx="1">
                  <c:v>16141.94931370856</c:v>
                </c:pt>
                <c:pt idx="2">
                  <c:v>67658.05068629144</c:v>
                </c:pt>
                <c:pt idx="3">
                  <c:v>273738.3485305011</c:v>
                </c:pt>
                <c:pt idx="4">
                  <c:v>65190.11847422558</c:v>
                </c:pt>
              </c:numCache>
            </c:numRef>
          </c:val>
        </c:ser>
        <c:dLbls>
          <c:showLegendKey val="0"/>
          <c:showVal val="0"/>
          <c:showCatName val="1"/>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solidFill>
        <a:schemeClr val="tx1">
          <a:tint val="75000"/>
          <a:shade val="95000"/>
          <a:satMod val="105000"/>
        </a:schemeClr>
      </a:solidFill>
      <a:prstDash val="solid"/>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18">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3">
      <cs:styleClr val="auto"/>
    </cs:fillRef>
    <cs:effectRef idx="2">
      <a:schemeClr val="dk1"/>
    </cs:effectRef>
    <cs:fontRef idx="minor">
      <a:schemeClr val="tx1"/>
    </cs:fontRef>
  </cs:dataPoint>
  <cs:dataPoint3D>
    <cs:lnRef idx="0"/>
    <cs:fillRef idx="3">
      <cs:styleClr val="auto"/>
    </cs:fillRef>
    <cs:effectRef idx="2">
      <a:schemeClr val="dk1"/>
    </cs:effectRef>
    <cs:fontRef idx="minor">
      <a:schemeClr val="tx1"/>
    </cs:fontRef>
  </cs:dataPoint3D>
  <cs:dataPointLine>
    <cs:lnRef idx="1">
      <cs:styleClr val="auto"/>
    </cs:lnRef>
    <cs:lineWidthScale>5</cs:lineWidthScale>
    <cs:fillRef idx="0"/>
    <cs:effectRef idx="0"/>
    <cs:fontRef idx="minor">
      <a:schemeClr val="tx1"/>
    </cs:fontRef>
    <cs:spPr>
      <a:ln cap="rnd">
        <a:round/>
      </a:ln>
    </cs:spPr>
  </cs:dataPointLine>
  <cs:dataPointMarker>
    <cs:lnRef idx="1">
      <cs:styleClr val="auto"/>
    </cs:lnRef>
    <cs:fillRef idx="3">
      <cs:styleClr val="auto"/>
    </cs:fillRef>
    <cs:effectRef idx="2">
      <a:schemeClr val="dk1"/>
    </cs:effectRef>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0"/>
    <cs:fillRef idx="3">
      <a:schemeClr val="dk1">
        <a:tint val="95000"/>
      </a:schemeClr>
    </cs:fillRef>
    <cs:effectRef idx="2">
      <a:schemeClr val="dk1"/>
    </cs:effectRef>
    <cs:fontRef idx="minor">
      <a:schemeClr val="tx1"/>
    </cs:fontRef>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0"/>
    <cs:fillRef idx="3">
      <a:schemeClr val="dk1">
        <a:tint val="5000"/>
      </a:schemeClr>
    </cs:fillRef>
    <cs:effectRef idx="2">
      <a:schemeClr val="dk1"/>
    </cs:effectRef>
    <cs:fontRef idx="minor">
      <a:schemeClr val="tx1"/>
    </cs:fontRef>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chartsheets/sheet1.xml><?xml version="1.0" encoding="utf-8"?>
<chartsheet xmlns="http://schemas.openxmlformats.org/spreadsheetml/2006/main" xmlns:r="http://schemas.openxmlformats.org/officeDocument/2006/relationships">
  <sheetPr/>
  <sheetViews>
    <sheetView zoomScale="128" workbookViewId="0" zoomToFit="1"/>
  </sheetViews>
  <pageMargins left="0.75" right="0.75" top="1" bottom="1" header="0.5" footer="0.5"/>
  <pageSetup orientation="landscape" horizontalDpi="4294967292" verticalDpi="4294967292"/>
  <drawing r:id="rId1"/>
</chartsheet>
</file>

<file path=xl/chartsheets/sheet2.xml><?xml version="1.0" encoding="utf-8"?>
<chartsheet xmlns="http://schemas.openxmlformats.org/spreadsheetml/2006/main" xmlns:r="http://schemas.openxmlformats.org/officeDocument/2006/relationships">
  <sheetPr/>
  <sheetViews>
    <sheetView zoomScale="160" workbookViewId="0" zoomToFit="1"/>
  </sheetViews>
  <pageMargins left="0.75" right="0.75" top="1" bottom="1" header="0.5" footer="0.5"/>
  <pageSetup orientation="landscape" horizontalDpi="4294967292" verticalDpi="4294967292"/>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absoluteAnchor>
    <xdr:pos x="0" y="0"/>
    <xdr:ext cx="8572500" cy="583406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8580438" cy="5834063"/>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twoCellAnchor editAs="oneCell">
    <xdr:from>
      <xdr:col>0</xdr:col>
      <xdr:colOff>254000</xdr:colOff>
      <xdr:row>18</xdr:row>
      <xdr:rowOff>114300</xdr:rowOff>
    </xdr:from>
    <xdr:to>
      <xdr:col>0</xdr:col>
      <xdr:colOff>5448300</xdr:colOff>
      <xdr:row>26</xdr:row>
      <xdr:rowOff>139700</xdr:rowOff>
    </xdr:to>
    <xdr:pic>
      <xdr:nvPicPr>
        <xdr:cNvPr id="4" name="Picture 3"/>
        <xdr:cNvPicPr>
          <a:picLocks noChangeAspect="1"/>
        </xdr:cNvPicPr>
      </xdr:nvPicPr>
      <xdr:blipFill>
        <a:blip xmlns:r="http://schemas.openxmlformats.org/officeDocument/2006/relationships" r:embed="rId1"/>
        <a:stretch>
          <a:fillRect/>
        </a:stretch>
      </xdr:blipFill>
      <xdr:spPr>
        <a:xfrm>
          <a:off x="254000" y="5638800"/>
          <a:ext cx="5194300" cy="1651000"/>
        </a:xfrm>
        <a:prstGeom prst="rect">
          <a:avLst/>
        </a:prstGeom>
      </xdr:spPr>
    </xdr:pic>
    <xdr:clientData/>
  </xdr:twoCellAnchor>
  <xdr:twoCellAnchor editAs="oneCell">
    <xdr:from>
      <xdr:col>0</xdr:col>
      <xdr:colOff>304800</xdr:colOff>
      <xdr:row>31</xdr:row>
      <xdr:rowOff>12700</xdr:rowOff>
    </xdr:from>
    <xdr:to>
      <xdr:col>0</xdr:col>
      <xdr:colOff>5448300</xdr:colOff>
      <xdr:row>39</xdr:row>
      <xdr:rowOff>50800</xdr:rowOff>
    </xdr:to>
    <xdr:pic>
      <xdr:nvPicPr>
        <xdr:cNvPr id="5" name="Picture 4"/>
        <xdr:cNvPicPr>
          <a:picLocks noChangeAspect="1"/>
        </xdr:cNvPicPr>
      </xdr:nvPicPr>
      <xdr:blipFill>
        <a:blip xmlns:r="http://schemas.openxmlformats.org/officeDocument/2006/relationships" r:embed="rId2"/>
        <a:stretch>
          <a:fillRect/>
        </a:stretch>
      </xdr:blipFill>
      <xdr:spPr>
        <a:xfrm>
          <a:off x="304800" y="8788400"/>
          <a:ext cx="5143500" cy="1663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hyperlink" Target="https://mobiforge.com/research-analysis/2011-handset-and-smartphone-sales-statistics-worldwide-big-picture" TargetMode="External"/></Relationships>
</file>

<file path=xl/worksheets/_rels/sheet23.xml.rels><?xml version="1.0" encoding="UTF-8" standalone="yes"?>
<Relationships xmlns="http://schemas.openxmlformats.org/package/2006/relationships"><Relationship Id="rId1" Type="http://schemas.openxmlformats.org/officeDocument/2006/relationships/hyperlink" Target="https://www.att.com/gen/sites/ipsales?pid=25568" TargetMode="External"/></Relationships>
</file>

<file path=xl/worksheets/_rels/sheet24.xml.rels><?xml version="1.0" encoding="UTF-8" standalone="yes"?>
<Relationships xmlns="http://schemas.openxmlformats.org/package/2006/relationships"><Relationship Id="rId1" Type="http://schemas.openxmlformats.org/officeDocument/2006/relationships/hyperlink" Target="http://www.test.att.com/gen/sites/ipsales?pid=27605" TargetMode="External"/><Relationship Id="rId2" Type="http://schemas.openxmlformats.org/officeDocument/2006/relationships/hyperlink" Target="https://www.att.com/gen/sites/ipsales?pid=19116" TargetMode="External"/></Relationships>
</file>

<file path=xl/worksheets/_rels/sheet25.xml.rels><?xml version="1.0" encoding="UTF-8" standalone="yes"?>
<Relationships xmlns="http://schemas.openxmlformats.org/package/2006/relationships"><Relationship Id="rId1" Type="http://schemas.openxmlformats.org/officeDocument/2006/relationships/hyperlink" Target="http://investors.broadcom.com/phoenix.zhtml?c=203541&amp;p=quarterlyEarnings" TargetMode="External"/></Relationships>
</file>

<file path=xl/worksheets/_rels/sheet26.xml.rels><?xml version="1.0" encoding="UTF-8" standalone="yes"?>
<Relationships xmlns="http://schemas.openxmlformats.org/package/2006/relationships"><Relationship Id="rId1" Type="http://schemas.openxmlformats.org/officeDocument/2006/relationships/hyperlink" Target="http://www.fotonation.com/who-we-are/" TargetMode="External"/><Relationship Id="rId2" Type="http://schemas.openxmlformats.org/officeDocument/2006/relationships/hyperlink" Target="http://www.tessera.com/" TargetMode="External"/></Relationships>
</file>

<file path=xl/worksheets/_rels/sheet27.xml.rels><?xml version="1.0" encoding="UTF-8" standalone="yes"?>
<Relationships xmlns="http://schemas.openxmlformats.org/package/2006/relationships"><Relationship Id="rId1" Type="http://schemas.openxmlformats.org/officeDocument/2006/relationships/hyperlink" Target="https://www.statista.com/study/11803/global-semiconductor-market-statista-dossier/" TargetMode="External"/><Relationship Id="rId2" Type="http://schemas.openxmlformats.org/officeDocument/2006/relationships/hyperlink" Target="http://www.statista.com/statistics/302139/global-revenue-of-dram-suppliers/" TargetMode="External"/></Relationships>
</file>

<file path=xl/worksheets/_rels/sheet35.xml.rels><?xml version="1.0" encoding="UTF-8" standalone="yes"?>
<Relationships xmlns="http://schemas.openxmlformats.org/package/2006/relationships"><Relationship Id="rId1" Type="http://schemas.openxmlformats.org/officeDocument/2006/relationships/hyperlink" Target="http://www.eetimes.com/document.asp?doc_id=1329884&amp;_mc=RSS_EET_EDT" TargetMode="External"/></Relationships>
</file>

<file path=xl/worksheets/_rels/sheet36.xml.rels><?xml version="1.0" encoding="UTF-8" standalone="yes"?>
<Relationships xmlns="http://schemas.openxmlformats.org/package/2006/relationships"><Relationship Id="rId1" Type="http://schemas.openxmlformats.org/officeDocument/2006/relationships/hyperlink" Target="http://www.via-corp.com/licensing/lte/licensefees.html" TargetMode="External"/></Relationships>
</file>

<file path=xl/worksheets/_rels/sheet39.xml.rels><?xml version="1.0" encoding="UTF-8" standalone="yes"?>
<Relationships xmlns="http://schemas.openxmlformats.org/package/2006/relationships"><Relationship Id="rId1" Type="http://schemas.openxmlformats.org/officeDocument/2006/relationships/hyperlink" Target="http://sisvel.com/lte-ltea/license-terms" TargetMode="External"/></Relationships>
</file>

<file path=xl/worksheets/_rels/sheet40.xml.rels><?xml version="1.0" encoding="UTF-8" standalone="yes"?>
<Relationships xmlns="http://schemas.openxmlformats.org/package/2006/relationships"><Relationship Id="rId1" Type="http://schemas.openxmlformats.org/officeDocument/2006/relationships/hyperlink" Target="http://www.sisvel.com/wi-fi/license-terms" TargetMode="External"/></Relationships>
</file>

<file path=xl/worksheets/_rels/sheet44.xml.rels><?xml version="1.0" encoding="UTF-8" standalone="yes"?>
<Relationships xmlns="http://schemas.openxmlformats.org/package/2006/relationships"><Relationship Id="rId1" Type="http://schemas.openxmlformats.org/officeDocument/2006/relationships/hyperlink" Target="http://sisvel.com/wireless/license-terms" TargetMode="External"/><Relationship Id="rId2" Type="http://schemas.openxmlformats.org/officeDocument/2006/relationships/drawing" Target="../drawings/drawing3.xml"/></Relationships>
</file>

<file path=xl/worksheets/_rels/sheet45.xml.rels><?xml version="1.0" encoding="UTF-8" standalone="yes"?>
<Relationships xmlns="http://schemas.openxmlformats.org/package/2006/relationships"><Relationship Id="rId1" Type="http://schemas.openxmlformats.org/officeDocument/2006/relationships/hyperlink" Target="http://www.cellular-news.com/story/Legal/60827.php" TargetMode="External"/><Relationship Id="rId2" Type="http://schemas.openxmlformats.org/officeDocument/2006/relationships/hyperlink" Target="http://www.fosspatents.com/2013/06/patent-firm-ipcom-settles-with-t-mobile.html" TargetMode="External"/></Relationships>
</file>

<file path=xl/worksheets/_rels/sheet46.xml.rels><?xml version="1.0" encoding="UTF-8" standalone="yes"?>
<Relationships xmlns="http://schemas.openxmlformats.org/package/2006/relationships"><Relationship Id="rId1" Type="http://schemas.openxmlformats.org/officeDocument/2006/relationships/hyperlink" Target="http://www.zoominfo.com/s/" TargetMode="External"/></Relationships>
</file>

<file path=xl/worksheets/_rels/sheet48.xml.rels><?xml version="1.0" encoding="UTF-8" standalone="yes"?>
<Relationships xmlns="http://schemas.openxmlformats.org/package/2006/relationships"><Relationship Id="rId1" Type="http://schemas.openxmlformats.org/officeDocument/2006/relationships/hyperlink" Target="http://www.intellectualventures.com/about/investor-relations" TargetMode="External"/><Relationship Id="rId2" Type="http://schemas.openxmlformats.org/officeDocument/2006/relationships/hyperlink" Target="http://www.marketwatch.com/story/myhrvolds-patent-firm-sees-revenue-swell-2011-03-04?reflink=MW_news_stmp" TargetMode="External"/><Relationship Id="rId3" Type="http://schemas.openxmlformats.org/officeDocument/2006/relationships/hyperlink" Target="http://www.intellectualventures.com/about/investor-relations" TargetMode="External"/></Relationships>
</file>

<file path=xl/worksheets/_rels/sheet49.xml.rels><?xml version="1.0" encoding="UTF-8" standalone="yes"?>
<Relationships xmlns="http://schemas.openxmlformats.org/package/2006/relationships"><Relationship Id="rId1" Type="http://schemas.openxmlformats.org/officeDocument/2006/relationships/hyperlink" Target="http://www.iam-media.com/blog/detail.aspx?g=c8479d8b-88ca-4425-a10a-0d3389b36fc9"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www.wiseharbor.com/pdfs/Mallinson%20on%20cumulative%20mobile%20SEP%20royalties%20for%20IP%20Finance%202015Aug19.pdf"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mailto:haber@stanford.edu" TargetMode="External"/><Relationship Id="rId4" Type="http://schemas.openxmlformats.org/officeDocument/2006/relationships/hyperlink" Target="http://www.hoover.org/profiles/alexander-galetovic" TargetMode="External"/><Relationship Id="rId5" Type="http://schemas.openxmlformats.org/officeDocument/2006/relationships/hyperlink" Target="mailto:alexander@galetovic.cl" TargetMode="External"/><Relationship Id="rId1" Type="http://schemas.openxmlformats.org/officeDocument/2006/relationships/hyperlink" Target="mailto:Lew@HamiltonIPV.com" TargetMode="External"/><Relationship Id="rId2" Type="http://schemas.openxmlformats.org/officeDocument/2006/relationships/hyperlink" Target="http://stephen-haber.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432FF"/>
  </sheetPr>
  <dimension ref="A8:A40"/>
  <sheetViews>
    <sheetView showGridLines="0" view="pageLayout" topLeftCell="A19" workbookViewId="0">
      <selection activeCell="A39" sqref="A39"/>
    </sheetView>
  </sheetViews>
  <sheetFormatPr baseColWidth="10" defaultRowHeight="15" x14ac:dyDescent="0"/>
  <cols>
    <col min="1" max="1" width="81.5" customWidth="1"/>
  </cols>
  <sheetData>
    <row r="8" spans="1:1">
      <c r="A8" s="146"/>
    </row>
    <row r="12" spans="1:1" ht="25">
      <c r="A12" s="137" t="s">
        <v>3003</v>
      </c>
    </row>
    <row r="13" spans="1:1" ht="23">
      <c r="A13" s="138" t="s">
        <v>3526</v>
      </c>
    </row>
    <row r="15" spans="1:1" ht="23">
      <c r="A15" s="138" t="s">
        <v>3002</v>
      </c>
    </row>
    <row r="17" spans="1:1">
      <c r="A17" s="164"/>
    </row>
    <row r="38" spans="1:1">
      <c r="A38" s="128" t="s">
        <v>3571</v>
      </c>
    </row>
    <row r="39" spans="1:1">
      <c r="A39" s="128" t="s">
        <v>3005</v>
      </c>
    </row>
    <row r="40" spans="1:1">
      <c r="A40" s="128" t="s">
        <v>3007</v>
      </c>
    </row>
  </sheetData>
  <phoneticPr fontId="15" type="noConversion"/>
  <pageMargins left="0.7" right="0.7" top="0.75" bottom="0.75" header="0.3" footer="0.3"/>
  <pageSetup orientation="portrait" horizontalDpi="4294967292" verticalDpi="4294967292"/>
  <headerFooter>
    <oddFooter>&amp;C&amp;P</oddFooter>
  </headerFooter>
  <extLst>
    <ext xmlns:mx="http://schemas.microsoft.com/office/mac/excel/2008/main" uri="{64002731-A6B0-56B0-2670-7721B7C09600}">
      <mx:PLV Mode="1" OnePage="0" WScale="10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29"/>
  <sheetViews>
    <sheetView showGridLines="0" view="pageLayout" workbookViewId="0">
      <selection activeCell="A2" sqref="A2"/>
    </sheetView>
  </sheetViews>
  <sheetFormatPr baseColWidth="10" defaultColWidth="10.6640625" defaultRowHeight="15" x14ac:dyDescent="0"/>
  <cols>
    <col min="1" max="1" width="16.6640625" customWidth="1"/>
    <col min="2" max="6" width="18.1640625" customWidth="1"/>
    <col min="7" max="12" width="16.6640625" customWidth="1"/>
  </cols>
  <sheetData>
    <row r="2" spans="1:12">
      <c r="A2" s="246" t="s">
        <v>3391</v>
      </c>
    </row>
    <row r="3" spans="1:12" ht="18">
      <c r="A3" s="147" t="str">
        <f>CONCATENATE(VLOOKUP($A$2,'Table of Contents'!$B:$E,4,FALSE)," ",$A$2)</f>
        <v>1.6 Sensitivity</v>
      </c>
    </row>
    <row r="5" spans="1:12">
      <c r="A5" t="s">
        <v>3519</v>
      </c>
      <c r="G5" s="330" t="s">
        <v>3520</v>
      </c>
    </row>
    <row r="7" spans="1:12" ht="15.75" customHeight="1">
      <c r="A7" s="332"/>
      <c r="B7" s="384" t="s">
        <v>3521</v>
      </c>
      <c r="C7" s="384"/>
      <c r="D7" s="384"/>
      <c r="E7" s="384"/>
      <c r="F7" s="384"/>
      <c r="G7" s="332"/>
      <c r="H7" s="384" t="s">
        <v>3522</v>
      </c>
      <c r="I7" s="384"/>
      <c r="J7" s="384"/>
      <c r="K7" s="384"/>
      <c r="L7" s="384"/>
    </row>
    <row r="8" spans="1:12" ht="30">
      <c r="A8" s="331" t="s">
        <v>3253</v>
      </c>
      <c r="B8" s="336">
        <v>0</v>
      </c>
      <c r="C8" s="333">
        <v>500</v>
      </c>
      <c r="D8" s="333">
        <f>$C8*2</f>
        <v>1000</v>
      </c>
      <c r="E8" s="333">
        <f>$C8*3</f>
        <v>1500</v>
      </c>
      <c r="F8" s="333">
        <f>$C8*4</f>
        <v>2000</v>
      </c>
      <c r="G8" s="331" t="s">
        <v>3515</v>
      </c>
      <c r="H8" s="236">
        <v>0</v>
      </c>
      <c r="I8" s="237">
        <v>500</v>
      </c>
      <c r="J8" s="237">
        <f>$C8*2</f>
        <v>1000</v>
      </c>
      <c r="K8" s="237">
        <f>$C8*3</f>
        <v>1500</v>
      </c>
      <c r="L8" s="237">
        <f>$C8*4</f>
        <v>2000</v>
      </c>
    </row>
    <row r="9" spans="1:12">
      <c r="A9" s="235">
        <v>0</v>
      </c>
      <c r="B9" s="337">
        <f>('1.3 Royalty Yield Summary 2015'!$D$8+B8)/(('1.3 Royalty Yield Summary 2015'!$F$8)*(1-A9))</f>
        <v>3.3682144886794753E-2</v>
      </c>
      <c r="C9" s="337">
        <f>('1.3 Royalty Yield Summary 2015'!$D$8+C8)/(('1.3 Royalty Yield Summary 2015'!$F$8)*(1-A9))</f>
        <v>3.486196066513448E-2</v>
      </c>
      <c r="D9" s="337">
        <f>('1.3 Royalty Yield Summary 2015'!$D$8+D8)/(('1.3 Royalty Yield Summary 2015'!$F$8)*(1-A9))</f>
        <v>3.6041776443474213E-2</v>
      </c>
      <c r="E9" s="337">
        <f>('1.3 Royalty Yield Summary 2015'!$D$8+E8)/(('1.3 Royalty Yield Summary 2015'!$F$8)*(1-A9))</f>
        <v>3.722159222181394E-2</v>
      </c>
      <c r="F9" s="337">
        <f>('1.3 Royalty Yield Summary 2015'!$D$8+F8)/(('1.3 Royalty Yield Summary 2015'!$F$8)*(1-A9))</f>
        <v>3.8401408000153674E-2</v>
      </c>
      <c r="G9" s="235">
        <v>0</v>
      </c>
      <c r="H9" s="337">
        <f>('1.3 Royalty Yield Summary 2015'!$D$8+H8)/(('1.3 Royalty Yield Summary 2015'!$E$8)*(1-G9))</f>
        <v>3.2664147917491684E-2</v>
      </c>
      <c r="I9" s="337">
        <f>('1.3 Royalty Yield Summary 2015'!$D$8+I8)/(('1.3 Royalty Yield Summary 2015'!$E$8)*(1-G9))</f>
        <v>3.3808305370308427E-2</v>
      </c>
      <c r="J9" s="337">
        <f>('1.3 Royalty Yield Summary 2015'!$D$8+J8)/(('1.3 Royalty Yield Summary 2015'!$E$8)*(1-G9))</f>
        <v>3.4952462823125169E-2</v>
      </c>
      <c r="K9" s="337">
        <f>('1.3 Royalty Yield Summary 2015'!$D$8+K8)/(('1.3 Royalty Yield Summary 2015'!$E$8)*(1-G9))</f>
        <v>3.6096620275941911E-2</v>
      </c>
      <c r="L9" s="337">
        <f>('1.3 Royalty Yield Summary 2015'!$D$8+L8)/(('1.3 Royalty Yield Summary 2015'!$E$8)*(1-G9))</f>
        <v>3.7240777728758653E-2</v>
      </c>
    </row>
    <row r="10" spans="1:12">
      <c r="A10" s="235">
        <f>A9+0.05</f>
        <v>0.05</v>
      </c>
      <c r="B10" s="337">
        <f>('1.3 Royalty Yield Summary 2015'!$D$8+B8)/(('1.3 Royalty Yield Summary 2015'!$F$8)*(1-A10))</f>
        <v>3.5454889354520798E-2</v>
      </c>
      <c r="C10" s="337">
        <f>('1.3 Royalty Yield Summary 2015'!$D$8+C8)/(('1.3 Royalty Yield Summary 2015'!$F$8)*(1-A10))</f>
        <v>3.6696800700141564E-2</v>
      </c>
      <c r="D10" s="337">
        <f>('1.3 Royalty Yield Summary 2015'!$D$8+D8)/(('1.3 Royalty Yield Summary 2015'!$F$8)*(1-A10))</f>
        <v>3.7938712045762331E-2</v>
      </c>
      <c r="E10" s="337">
        <f>('1.3 Royalty Yield Summary 2015'!$D$8+E8)/(('1.3 Royalty Yield Summary 2015'!$F$8)*(1-A10))</f>
        <v>3.9180623391383097E-2</v>
      </c>
      <c r="F10" s="337">
        <f>('1.3 Royalty Yield Summary 2015'!$D$8+F8)/(('1.3 Royalty Yield Summary 2015'!$F$8)*(1-A10))</f>
        <v>4.0422534737003871E-2</v>
      </c>
      <c r="G10" s="235">
        <f>G9+0.05</f>
        <v>0.05</v>
      </c>
      <c r="H10" s="337">
        <f>('1.3 Royalty Yield Summary 2015'!$D$8+H8)/(('1.3 Royalty Yield Summary 2015'!$E$8)*(1-G10))</f>
        <v>3.4383313597359667E-2</v>
      </c>
      <c r="I10" s="337">
        <f>('1.3 Royalty Yield Summary 2015'!$D$8+I8)/(('1.3 Royalty Yield Summary 2015'!$E$8)*(1-G10))</f>
        <v>3.5587689863482555E-2</v>
      </c>
      <c r="J10" s="337">
        <f>('1.3 Royalty Yield Summary 2015'!$D$8+J8)/(('1.3 Royalty Yield Summary 2015'!$E$8)*(1-G10))</f>
        <v>3.6792066129605443E-2</v>
      </c>
      <c r="K10" s="337">
        <f>('1.3 Royalty Yield Summary 2015'!$D$8+K8)/(('1.3 Royalty Yield Summary 2015'!$E$8)*(1-G10))</f>
        <v>3.7996442395728323E-2</v>
      </c>
      <c r="L10" s="337">
        <f>('1.3 Royalty Yield Summary 2015'!$D$8+L8)/(('1.3 Royalty Yield Summary 2015'!$E$8)*(1-G10))</f>
        <v>3.9200818661851211E-2</v>
      </c>
    </row>
    <row r="11" spans="1:12">
      <c r="A11" s="235">
        <f t="shared" ref="A11:A15" si="0">A10+0.05</f>
        <v>0.1</v>
      </c>
      <c r="B11" s="337">
        <f>('1.3 Royalty Yield Summary 2015'!$D$8+B8)/(('1.3 Royalty Yield Summary 2015'!$F$8)*(1-A11))</f>
        <v>3.7424605429771947E-2</v>
      </c>
      <c r="C11" s="337">
        <f>('1.3 Royalty Yield Summary 2015'!$D$8+C8)/(('1.3 Royalty Yield Summary 2015'!$F$8)*(1-A11))</f>
        <v>3.8735511850149423E-2</v>
      </c>
      <c r="D11" s="337">
        <f>('1.3 Royalty Yield Summary 2015'!$D$8+D8)/(('1.3 Royalty Yield Summary 2015'!$F$8)*(1-A11))</f>
        <v>4.00464182705269E-2</v>
      </c>
      <c r="E11" s="337">
        <f>('1.3 Royalty Yield Summary 2015'!$D$8+E8)/(('1.3 Royalty Yield Summary 2015'!$F$8)*(1-A11))</f>
        <v>4.1357324690904376E-2</v>
      </c>
      <c r="F11" s="337">
        <f>('1.3 Royalty Yield Summary 2015'!$D$8+F8)/(('1.3 Royalty Yield Summary 2015'!$F$8)*(1-A11))</f>
        <v>4.2668231111281853E-2</v>
      </c>
      <c r="G11" s="235">
        <f t="shared" ref="G11:G15" si="1">G10+0.05</f>
        <v>0.1</v>
      </c>
      <c r="H11" s="337">
        <f>('1.3 Royalty Yield Summary 2015'!$D$8+H8)/(('1.3 Royalty Yield Summary 2015'!$E$8)*(1-G11))</f>
        <v>3.6293497686101871E-2</v>
      </c>
      <c r="I11" s="337">
        <f>('1.3 Royalty Yield Summary 2015'!$D$8+I8)/(('1.3 Royalty Yield Summary 2015'!$E$8)*(1-G11))</f>
        <v>3.7564783744787139E-2</v>
      </c>
      <c r="J11" s="337">
        <f>('1.3 Royalty Yield Summary 2015'!$D$8+J8)/(('1.3 Royalty Yield Summary 2015'!$E$8)*(1-G11))</f>
        <v>3.8836069803472408E-2</v>
      </c>
      <c r="K11" s="337">
        <f>('1.3 Royalty Yield Summary 2015'!$D$8+K8)/(('1.3 Royalty Yield Summary 2015'!$E$8)*(1-G11))</f>
        <v>4.0107355862157676E-2</v>
      </c>
      <c r="L11" s="337">
        <f>('1.3 Royalty Yield Summary 2015'!$D$8+L8)/(('1.3 Royalty Yield Summary 2015'!$E$8)*(1-G11))</f>
        <v>4.1378641920842944E-2</v>
      </c>
    </row>
    <row r="12" spans="1:12">
      <c r="A12" s="235">
        <f t="shared" si="0"/>
        <v>0.15000000000000002</v>
      </c>
      <c r="B12" s="337">
        <f>('1.3 Royalty Yield Summary 2015'!$D$8+B8)/(('1.3 Royalty Yield Summary 2015'!$F$8)*(1-A12))</f>
        <v>3.9626052807993827E-2</v>
      </c>
      <c r="C12" s="337">
        <f>('1.3 Royalty Yield Summary 2015'!$D$8+C8)/(('1.3 Royalty Yield Summary 2015'!$F$8)*(1-A12))</f>
        <v>4.1014071370746454E-2</v>
      </c>
      <c r="D12" s="337">
        <f>('1.3 Royalty Yield Summary 2015'!$D$8+D8)/(('1.3 Royalty Yield Summary 2015'!$F$8)*(1-A12))</f>
        <v>4.2402089933499074E-2</v>
      </c>
      <c r="E12" s="337">
        <f>('1.3 Royalty Yield Summary 2015'!$D$8+E8)/(('1.3 Royalty Yield Summary 2015'!$F$8)*(1-A12))</f>
        <v>4.3790108496251701E-2</v>
      </c>
      <c r="F12" s="337">
        <f>('1.3 Royalty Yield Summary 2015'!$D$8+F8)/(('1.3 Royalty Yield Summary 2015'!$F$8)*(1-A12))</f>
        <v>4.5178127059004321E-2</v>
      </c>
      <c r="G12" s="235">
        <f t="shared" si="1"/>
        <v>0.15000000000000002</v>
      </c>
      <c r="H12" s="337">
        <f>('1.3 Royalty Yield Summary 2015'!$D$8+H8)/(('1.3 Royalty Yield Summary 2015'!$E$8)*(1-G12))</f>
        <v>3.8428409314696099E-2</v>
      </c>
      <c r="I12" s="337">
        <f>('1.3 Royalty Yield Summary 2015'!$D$8+I8)/(('1.3 Royalty Yield Summary 2015'!$E$8)*(1-G12))</f>
        <v>3.9774476906245207E-2</v>
      </c>
      <c r="J12" s="337">
        <f>('1.3 Royalty Yield Summary 2015'!$D$8+J8)/(('1.3 Royalty Yield Summary 2015'!$E$8)*(1-G12))</f>
        <v>4.1120544497794315E-2</v>
      </c>
      <c r="K12" s="337">
        <f>('1.3 Royalty Yield Summary 2015'!$D$8+K8)/(('1.3 Royalty Yield Summary 2015'!$E$8)*(1-G12))</f>
        <v>4.2466612089343422E-2</v>
      </c>
      <c r="L12" s="337">
        <f>('1.3 Royalty Yield Summary 2015'!$D$8+L8)/(('1.3 Royalty Yield Summary 2015'!$E$8)*(1-G12))</f>
        <v>4.3812679680892537E-2</v>
      </c>
    </row>
    <row r="13" spans="1:12">
      <c r="A13" s="235">
        <f t="shared" si="0"/>
        <v>0.2</v>
      </c>
      <c r="B13" s="337">
        <f>('1.3 Royalty Yield Summary 2015'!$D$8+B8)/(('1.3 Royalty Yield Summary 2015'!$F$8)*(1-A13))</f>
        <v>4.2102681108493432E-2</v>
      </c>
      <c r="C13" s="337">
        <f>('1.3 Royalty Yield Summary 2015'!$D$8+C8)/(('1.3 Royalty Yield Summary 2015'!$F$8)*(1-A13))</f>
        <v>4.3577450831418098E-2</v>
      </c>
      <c r="D13" s="337">
        <f>('1.3 Royalty Yield Summary 2015'!$D$8+D8)/(('1.3 Royalty Yield Summary 2015'!$F$8)*(1-A13))</f>
        <v>4.5052220554342756E-2</v>
      </c>
      <c r="E13" s="337">
        <f>('1.3 Royalty Yield Summary 2015'!$D$8+E8)/(('1.3 Royalty Yield Summary 2015'!$F$8)*(1-A13))</f>
        <v>4.6526990277267422E-2</v>
      </c>
      <c r="F13" s="337">
        <f>('1.3 Royalty Yield Summary 2015'!$D$8+F8)/(('1.3 Royalty Yield Summary 2015'!$F$8)*(1-A13))</f>
        <v>4.800176000019208E-2</v>
      </c>
      <c r="G13" s="235">
        <f t="shared" si="1"/>
        <v>0.2</v>
      </c>
      <c r="H13" s="337">
        <f>('1.3 Royalty Yield Summary 2015'!$D$8+H8)/(('1.3 Royalty Yield Summary 2015'!$E$8)*(1-G13))</f>
        <v>4.0830184896864602E-2</v>
      </c>
      <c r="I13" s="337">
        <f>('1.3 Royalty Yield Summary 2015'!$D$8+I8)/(('1.3 Royalty Yield Summary 2015'!$E$8)*(1-G13))</f>
        <v>4.2260381712885528E-2</v>
      </c>
      <c r="J13" s="337">
        <f>('1.3 Royalty Yield Summary 2015'!$D$8+J8)/(('1.3 Royalty Yield Summary 2015'!$E$8)*(1-G13))</f>
        <v>4.3690578528906454E-2</v>
      </c>
      <c r="K13" s="337">
        <f>('1.3 Royalty Yield Summary 2015'!$D$8+K8)/(('1.3 Royalty Yield Summary 2015'!$E$8)*(1-G13))</f>
        <v>4.5120775344927387E-2</v>
      </c>
      <c r="L13" s="337">
        <f>('1.3 Royalty Yield Summary 2015'!$D$8+L8)/(('1.3 Royalty Yield Summary 2015'!$E$8)*(1-G13))</f>
        <v>4.6550972160948313E-2</v>
      </c>
    </row>
    <row r="14" spans="1:12">
      <c r="A14" s="235">
        <f t="shared" si="0"/>
        <v>0.25</v>
      </c>
      <c r="B14" s="337">
        <f>('1.3 Royalty Yield Summary 2015'!$D$8+B8)/(('1.3 Royalty Yield Summary 2015'!$F$8)*(1-A14))</f>
        <v>4.4909526515726335E-2</v>
      </c>
      <c r="C14" s="337">
        <f>('1.3 Royalty Yield Summary 2015'!$D$8+C8)/(('1.3 Royalty Yield Summary 2015'!$F$8)*(1-A14))</f>
        <v>4.6482614220179311E-2</v>
      </c>
      <c r="D14" s="337">
        <f>('1.3 Royalty Yield Summary 2015'!$D$8+D8)/(('1.3 Royalty Yield Summary 2015'!$F$8)*(1-A14))</f>
        <v>4.805570192463228E-2</v>
      </c>
      <c r="E14" s="337">
        <f>('1.3 Royalty Yield Summary 2015'!$D$8+E8)/(('1.3 Royalty Yield Summary 2015'!$F$8)*(1-A14))</f>
        <v>4.9628789629085256E-2</v>
      </c>
      <c r="F14" s="337">
        <f>('1.3 Royalty Yield Summary 2015'!$D$8+F8)/(('1.3 Royalty Yield Summary 2015'!$F$8)*(1-A14))</f>
        <v>5.1201877333538225E-2</v>
      </c>
      <c r="G14" s="235">
        <f t="shared" si="1"/>
        <v>0.25</v>
      </c>
      <c r="H14" s="337">
        <f>('1.3 Royalty Yield Summary 2015'!$D$8+H8)/(('1.3 Royalty Yield Summary 2015'!$E$8)*(1-G14))</f>
        <v>4.3552197223322243E-2</v>
      </c>
      <c r="I14" s="337">
        <f>('1.3 Royalty Yield Summary 2015'!$D$8+I8)/(('1.3 Royalty Yield Summary 2015'!$E$8)*(1-G14))</f>
        <v>4.5077740493744564E-2</v>
      </c>
      <c r="J14" s="337">
        <f>('1.3 Royalty Yield Summary 2015'!$D$8+J8)/(('1.3 Royalty Yield Summary 2015'!$E$8)*(1-G14))</f>
        <v>4.6603283764166892E-2</v>
      </c>
      <c r="K14" s="337">
        <f>('1.3 Royalty Yield Summary 2015'!$D$8+K8)/(('1.3 Royalty Yield Summary 2015'!$E$8)*(1-G14))</f>
        <v>4.8128827034589212E-2</v>
      </c>
      <c r="L14" s="337">
        <f>('1.3 Royalty Yield Summary 2015'!$D$8+L8)/(('1.3 Royalty Yield Summary 2015'!$E$8)*(1-G14))</f>
        <v>4.9654370305011533E-2</v>
      </c>
    </row>
    <row r="15" spans="1:12">
      <c r="A15" s="235">
        <f t="shared" si="0"/>
        <v>0.3</v>
      </c>
      <c r="B15" s="337">
        <f>('1.3 Royalty Yield Summary 2015'!$D$8+B8)/(('1.3 Royalty Yield Summary 2015'!$F$8)*(1-A15))</f>
        <v>4.8117349838278221E-2</v>
      </c>
      <c r="C15" s="337">
        <f>('1.3 Royalty Yield Summary 2015'!$D$8+C8)/(('1.3 Royalty Yield Summary 2015'!$F$8)*(1-A15))</f>
        <v>4.9802800950192121E-2</v>
      </c>
      <c r="D15" s="337">
        <f>('1.3 Royalty Yield Summary 2015'!$D$8+D8)/(('1.3 Royalty Yield Summary 2015'!$F$8)*(1-A15))</f>
        <v>5.1488252062106027E-2</v>
      </c>
      <c r="E15" s="337">
        <f>('1.3 Royalty Yield Summary 2015'!$D$8+E8)/(('1.3 Royalty Yield Summary 2015'!$F$8)*(1-A15))</f>
        <v>5.3173703174019926E-2</v>
      </c>
      <c r="F15" s="337">
        <f>('1.3 Royalty Yield Summary 2015'!$D$8+F8)/(('1.3 Royalty Yield Summary 2015'!$F$8)*(1-A15))</f>
        <v>5.4859154285933825E-2</v>
      </c>
      <c r="G15" s="235">
        <f t="shared" si="1"/>
        <v>0.3</v>
      </c>
      <c r="H15" s="337">
        <f>('1.3 Royalty Yield Summary 2015'!$D$8+H8)/(('1.3 Royalty Yield Summary 2015'!$E$8)*(1-G15))</f>
        <v>4.6663068453559553E-2</v>
      </c>
      <c r="I15" s="337">
        <f>('1.3 Royalty Yield Summary 2015'!$D$8+I8)/(('1.3 Royalty Yield Summary 2015'!$E$8)*(1-G15))</f>
        <v>4.8297579100440607E-2</v>
      </c>
      <c r="J15" s="337">
        <f>('1.3 Royalty Yield Summary 2015'!$D$8+J8)/(('1.3 Royalty Yield Summary 2015'!$E$8)*(1-G15))</f>
        <v>4.9932089747321669E-2</v>
      </c>
      <c r="K15" s="337">
        <f>('1.3 Royalty Yield Summary 2015'!$D$8+K8)/(('1.3 Royalty Yield Summary 2015'!$E$8)*(1-G15))</f>
        <v>5.156660039420273E-2</v>
      </c>
      <c r="L15" s="337">
        <f>('1.3 Royalty Yield Summary 2015'!$D$8+L8)/(('1.3 Royalty Yield Summary 2015'!$E$8)*(1-G15))</f>
        <v>5.3201111041083785E-2</v>
      </c>
    </row>
    <row r="17" spans="1:6">
      <c r="A17" s="383" t="s">
        <v>3524</v>
      </c>
      <c r="B17" s="383"/>
      <c r="C17" s="383"/>
      <c r="D17" s="383"/>
      <c r="E17" s="383"/>
      <c r="F17" s="383"/>
    </row>
    <row r="18" spans="1:6">
      <c r="A18" s="383"/>
      <c r="B18" s="383"/>
      <c r="C18" s="383"/>
      <c r="D18" s="383"/>
      <c r="E18" s="383"/>
      <c r="F18" s="383"/>
    </row>
    <row r="19" spans="1:6">
      <c r="A19" s="383"/>
      <c r="B19" s="383"/>
      <c r="C19" s="383"/>
      <c r="D19" s="383"/>
      <c r="E19" s="383"/>
      <c r="F19" s="383"/>
    </row>
    <row r="20" spans="1:6">
      <c r="A20" s="383"/>
      <c r="B20" s="383"/>
      <c r="C20" s="383"/>
      <c r="D20" s="383"/>
      <c r="E20" s="383"/>
      <c r="F20" s="383"/>
    </row>
    <row r="21" spans="1:6">
      <c r="A21" s="383"/>
      <c r="B21" s="383"/>
      <c r="C21" s="383"/>
      <c r="D21" s="383"/>
      <c r="E21" s="383"/>
      <c r="F21" s="383"/>
    </row>
    <row r="22" spans="1:6">
      <c r="A22" s="383"/>
      <c r="B22" s="383"/>
      <c r="C22" s="383"/>
      <c r="D22" s="383"/>
      <c r="E22" s="383"/>
      <c r="F22" s="383"/>
    </row>
    <row r="23" spans="1:6">
      <c r="A23" s="383"/>
      <c r="B23" s="383"/>
      <c r="C23" s="383"/>
      <c r="D23" s="383"/>
      <c r="E23" s="383"/>
      <c r="F23" s="383"/>
    </row>
    <row r="24" spans="1:6">
      <c r="A24" s="383"/>
      <c r="B24" s="383"/>
      <c r="C24" s="383"/>
      <c r="D24" s="383"/>
      <c r="E24" s="383"/>
      <c r="F24" s="383"/>
    </row>
    <row r="25" spans="1:6">
      <c r="A25" s="383"/>
      <c r="B25" s="383"/>
      <c r="C25" s="383"/>
      <c r="D25" s="383"/>
      <c r="E25" s="383"/>
      <c r="F25" s="383"/>
    </row>
    <row r="26" spans="1:6">
      <c r="A26" s="383"/>
      <c r="B26" s="383"/>
      <c r="C26" s="383"/>
      <c r="D26" s="383"/>
      <c r="E26" s="383"/>
      <c r="F26" s="383"/>
    </row>
    <row r="27" spans="1:6">
      <c r="A27" s="383"/>
      <c r="B27" s="383"/>
      <c r="C27" s="383"/>
      <c r="D27" s="383"/>
      <c r="E27" s="383"/>
      <c r="F27" s="383"/>
    </row>
    <row r="28" spans="1:6">
      <c r="A28" s="383"/>
      <c r="B28" s="383"/>
      <c r="C28" s="383"/>
      <c r="D28" s="383"/>
      <c r="E28" s="383"/>
      <c r="F28" s="383"/>
    </row>
    <row r="29" spans="1:6" ht="33" customHeight="1">
      <c r="A29" s="383"/>
      <c r="B29" s="383"/>
      <c r="C29" s="383"/>
      <c r="D29" s="383"/>
      <c r="E29" s="383"/>
      <c r="F29" s="383"/>
    </row>
  </sheetData>
  <mergeCells count="3">
    <mergeCell ref="A17:F29"/>
    <mergeCell ref="B7:F7"/>
    <mergeCell ref="H7:L7"/>
  </mergeCells>
  <phoneticPr fontId="15" type="noConversion"/>
  <pageMargins left="0.7" right="0.7" top="0.75" bottom="0.75" header="0.3" footer="0.3"/>
  <pageSetup orientation="landscape"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Y48"/>
  <sheetViews>
    <sheetView showGridLines="0" view="pageLayout" topLeftCell="J1" workbookViewId="0">
      <selection activeCell="F41" sqref="F41"/>
    </sheetView>
  </sheetViews>
  <sheetFormatPr baseColWidth="10" defaultRowHeight="15" x14ac:dyDescent="0"/>
  <cols>
    <col min="1" max="1" width="6.33203125" customWidth="1"/>
    <col min="2" max="5" width="19.5" customWidth="1"/>
    <col min="6" max="6" width="15.33203125" bestFit="1" customWidth="1"/>
    <col min="7" max="7" width="11.83203125" customWidth="1"/>
    <col min="8" max="8" width="14.1640625" customWidth="1"/>
    <col min="9" max="9" width="14" customWidth="1"/>
    <col min="10" max="10" width="14.83203125" customWidth="1"/>
    <col min="11" max="14" width="14" customWidth="1"/>
    <col min="15" max="15" width="14.1640625" customWidth="1"/>
    <col min="16" max="19" width="14" customWidth="1"/>
    <col min="20" max="20" width="11.1640625" bestFit="1" customWidth="1"/>
    <col min="21" max="21" width="15.83203125" customWidth="1"/>
    <col min="22" max="22" width="12.33203125" customWidth="1"/>
    <col min="23" max="23" width="13.5" customWidth="1"/>
    <col min="24" max="28" width="12.33203125" customWidth="1"/>
    <col min="29" max="33" width="12.83203125" customWidth="1"/>
    <col min="34" max="34" width="15.83203125" customWidth="1"/>
    <col min="35" max="35" width="16.6640625" customWidth="1"/>
    <col min="36" max="36" width="16.1640625" customWidth="1"/>
    <col min="37" max="37" width="17.5" customWidth="1"/>
    <col min="38" max="38" width="14.6640625" customWidth="1"/>
    <col min="39" max="39" width="7" customWidth="1"/>
    <col min="41" max="43" width="16.6640625" customWidth="1"/>
  </cols>
  <sheetData>
    <row r="2" spans="1:51">
      <c r="A2" s="246" t="s">
        <v>3366</v>
      </c>
    </row>
    <row r="3" spans="1:51" ht="18">
      <c r="A3" s="147" t="str">
        <f>CONCATENATE(VLOOKUP($A$2,'Table of Contents'!$B:$E,4,FALSE)," ",$A$2)</f>
        <v>1.7 Revenues by Licensor</v>
      </c>
    </row>
    <row r="5" spans="1:51">
      <c r="A5" t="s">
        <v>3403</v>
      </c>
    </row>
    <row r="7" spans="1:51" ht="17.25" customHeight="1"/>
    <row r="8" spans="1:51" s="206" customFormat="1">
      <c r="B8" s="206">
        <v>1</v>
      </c>
      <c r="C8" s="206">
        <f>1+B8</f>
        <v>2</v>
      </c>
      <c r="D8" s="329">
        <f t="shared" ref="D8:AG8" si="0">1+C8</f>
        <v>3</v>
      </c>
      <c r="E8" s="329">
        <f t="shared" si="0"/>
        <v>4</v>
      </c>
      <c r="F8" s="329">
        <f t="shared" si="0"/>
        <v>5</v>
      </c>
      <c r="G8" s="329">
        <f t="shared" si="0"/>
        <v>6</v>
      </c>
      <c r="H8" s="329">
        <f t="shared" si="0"/>
        <v>7</v>
      </c>
      <c r="I8" s="329">
        <f t="shared" si="0"/>
        <v>8</v>
      </c>
      <c r="J8" s="329">
        <f t="shared" si="0"/>
        <v>9</v>
      </c>
      <c r="K8" s="329">
        <f t="shared" si="0"/>
        <v>10</v>
      </c>
      <c r="L8" s="329">
        <f t="shared" si="0"/>
        <v>11</v>
      </c>
      <c r="M8" s="329">
        <f t="shared" si="0"/>
        <v>12</v>
      </c>
      <c r="N8" s="329">
        <f t="shared" si="0"/>
        <v>13</v>
      </c>
      <c r="O8" s="329">
        <f t="shared" si="0"/>
        <v>14</v>
      </c>
      <c r="P8" s="329">
        <f t="shared" si="0"/>
        <v>15</v>
      </c>
      <c r="Q8" s="329">
        <f t="shared" si="0"/>
        <v>16</v>
      </c>
      <c r="R8" s="329">
        <f t="shared" si="0"/>
        <v>17</v>
      </c>
      <c r="S8" s="329">
        <f t="shared" si="0"/>
        <v>18</v>
      </c>
      <c r="T8" s="329">
        <f t="shared" si="0"/>
        <v>19</v>
      </c>
      <c r="U8" s="329">
        <f t="shared" si="0"/>
        <v>20</v>
      </c>
      <c r="V8" s="329">
        <f t="shared" si="0"/>
        <v>21</v>
      </c>
      <c r="W8" s="329">
        <f t="shared" si="0"/>
        <v>22</v>
      </c>
      <c r="X8" s="329">
        <f t="shared" si="0"/>
        <v>23</v>
      </c>
      <c r="Y8" s="329">
        <f t="shared" si="0"/>
        <v>24</v>
      </c>
      <c r="Z8" s="329">
        <f t="shared" si="0"/>
        <v>25</v>
      </c>
      <c r="AA8" s="329">
        <f t="shared" si="0"/>
        <v>26</v>
      </c>
      <c r="AB8" s="329">
        <f t="shared" si="0"/>
        <v>27</v>
      </c>
      <c r="AC8" s="329">
        <f t="shared" si="0"/>
        <v>28</v>
      </c>
      <c r="AD8" s="329">
        <f t="shared" si="0"/>
        <v>29</v>
      </c>
      <c r="AE8" s="329">
        <f t="shared" si="0"/>
        <v>30</v>
      </c>
      <c r="AF8" s="329">
        <f t="shared" si="0"/>
        <v>31</v>
      </c>
      <c r="AG8" s="329">
        <f t="shared" si="0"/>
        <v>32</v>
      </c>
      <c r="AI8" s="143"/>
      <c r="AJ8" s="143"/>
      <c r="AK8" s="143"/>
      <c r="AL8" s="143"/>
      <c r="AM8" s="143"/>
      <c r="AN8" s="143"/>
      <c r="AO8" s="143"/>
      <c r="AP8" s="143"/>
      <c r="AQ8" s="143"/>
      <c r="AR8" s="143"/>
      <c r="AS8" s="143"/>
      <c r="AT8" s="143"/>
      <c r="AU8" s="143"/>
      <c r="AV8" s="143"/>
      <c r="AW8" s="143"/>
      <c r="AX8" s="143"/>
      <c r="AY8" s="143"/>
    </row>
    <row r="9" spans="1:51" s="143" customFormat="1">
      <c r="A9" s="143" t="s">
        <v>3398</v>
      </c>
      <c r="B9" s="297">
        <f>$A13</f>
        <v>2000</v>
      </c>
      <c r="C9" s="297">
        <f>$A17</f>
        <v>2004</v>
      </c>
      <c r="D9" s="297">
        <f>$A17</f>
        <v>2004</v>
      </c>
      <c r="E9" s="297">
        <f>$A22</f>
        <v>2009</v>
      </c>
      <c r="F9" s="297">
        <f t="shared" ref="F9" si="1">$A22</f>
        <v>2009</v>
      </c>
      <c r="G9" s="297">
        <f>$A18</f>
        <v>2005</v>
      </c>
      <c r="H9" s="297">
        <f>$A20</f>
        <v>2007</v>
      </c>
      <c r="I9" s="297">
        <f>$A22</f>
        <v>2009</v>
      </c>
      <c r="J9" s="297">
        <f>$A22</f>
        <v>2009</v>
      </c>
      <c r="K9" s="297">
        <f>$A20</f>
        <v>2007</v>
      </c>
      <c r="L9" s="297">
        <f t="shared" ref="L9:N9" si="2">$A20</f>
        <v>2007</v>
      </c>
      <c r="M9" s="297">
        <f t="shared" si="2"/>
        <v>2007</v>
      </c>
      <c r="N9" s="297">
        <f t="shared" si="2"/>
        <v>2007</v>
      </c>
      <c r="O9" s="297">
        <f>$A26</f>
        <v>2013</v>
      </c>
      <c r="P9" s="297">
        <f>A26</f>
        <v>2013</v>
      </c>
      <c r="Q9" s="297">
        <f>$A28</f>
        <v>2015</v>
      </c>
      <c r="R9" s="297">
        <f t="shared" ref="R9" si="3">$A13</f>
        <v>2000</v>
      </c>
      <c r="S9" s="297">
        <f>$A25</f>
        <v>2012</v>
      </c>
      <c r="T9" s="297">
        <f>$A28</f>
        <v>2015</v>
      </c>
      <c r="U9" s="297">
        <f t="shared" ref="U9:X9" si="4">$A28</f>
        <v>2015</v>
      </c>
      <c r="V9" s="297">
        <f t="shared" si="4"/>
        <v>2015</v>
      </c>
      <c r="W9" s="297">
        <f t="shared" si="4"/>
        <v>2015</v>
      </c>
      <c r="X9" s="297">
        <f t="shared" si="4"/>
        <v>2015</v>
      </c>
      <c r="Y9" s="297">
        <f>$A25</f>
        <v>2012</v>
      </c>
      <c r="Z9" s="297">
        <f>A22</f>
        <v>2009</v>
      </c>
      <c r="AA9" s="297">
        <f t="shared" ref="AA9:AG9" si="5">$A28</f>
        <v>2015</v>
      </c>
      <c r="AB9" s="297">
        <f t="shared" si="5"/>
        <v>2015</v>
      </c>
      <c r="AC9" s="297">
        <f t="shared" si="5"/>
        <v>2015</v>
      </c>
      <c r="AD9" s="297">
        <f t="shared" si="5"/>
        <v>2015</v>
      </c>
      <c r="AE9" s="297">
        <f t="shared" si="5"/>
        <v>2015</v>
      </c>
      <c r="AF9" s="297">
        <f t="shared" si="5"/>
        <v>2015</v>
      </c>
      <c r="AG9" s="297">
        <f t="shared" si="5"/>
        <v>2015</v>
      </c>
      <c r="AH9" s="16"/>
    </row>
    <row r="10" spans="1:51" s="143" customFormat="1" ht="16" customHeight="1">
      <c r="A10" s="143" t="s">
        <v>3399</v>
      </c>
      <c r="B10" s="143" t="str">
        <f>VLOOKUP(B$12,'Table of Contents'!$B$21:$E$77,2,FALSE)</f>
        <v>Confirmed</v>
      </c>
      <c r="C10" s="292" t="str">
        <f>VLOOKUP(C$12,'Table of Contents'!$B$21:$E$77,2,FALSE)</f>
        <v>Confirmed</v>
      </c>
      <c r="D10" s="292" t="str">
        <f>VLOOKUP(D$12,'Table of Contents'!$B$21:$E$77,2,FALSE)</f>
        <v>Confirmed</v>
      </c>
      <c r="E10" s="292" t="str">
        <f>VLOOKUP(E$12,'Table of Contents'!$B$21:$E$77,2,FALSE)</f>
        <v>Confirmed</v>
      </c>
      <c r="F10" s="292" t="str">
        <f>VLOOKUP(F$12,'Table of Contents'!$B$21:$E$77,2,FALSE)</f>
        <v>Confirmed</v>
      </c>
      <c r="G10" s="292" t="str">
        <f>VLOOKUP(G$12,'Table of Contents'!$B$21:$E$77,2,FALSE)</f>
        <v>Confirmed</v>
      </c>
      <c r="H10" s="292" t="str">
        <f>VLOOKUP(H$12,'Table of Contents'!$B$21:$E$77,2,FALSE)</f>
        <v>Confirmed</v>
      </c>
      <c r="I10" s="292" t="str">
        <f>VLOOKUP(I$12,'Table of Contents'!$B$21:$E$77,2,FALSE)</f>
        <v>Confirmed</v>
      </c>
      <c r="J10" s="292" t="str">
        <f>VLOOKUP(J$12,'Table of Contents'!$B$21:$E$77,2,FALSE)</f>
        <v>Documented</v>
      </c>
      <c r="K10" s="292" t="str">
        <f>VLOOKUP(K$12,'Table of Contents'!$B$21:$E$77,2,FALSE)</f>
        <v>Approximated</v>
      </c>
      <c r="L10" s="292" t="str">
        <f>VLOOKUP(L$12,'Table of Contents'!$B$21:$E$77,2,FALSE)</f>
        <v>Approximated</v>
      </c>
      <c r="M10" s="292" t="str">
        <f>VLOOKUP(M$12,'Table of Contents'!$B$21:$E$77,2,FALSE)</f>
        <v>Approximated</v>
      </c>
      <c r="N10" s="292" t="str">
        <f>VLOOKUP(N$12,'Table of Contents'!$B$21:$E$77,2,FALSE)</f>
        <v>Approximated</v>
      </c>
      <c r="O10" s="292" t="str">
        <f>VLOOKUP(O$12,'Table of Contents'!$B$21:$E$77,2,FALSE)</f>
        <v>Approximated</v>
      </c>
      <c r="P10" s="292" t="str">
        <f>VLOOKUP(P$12,'Table of Contents'!$B$21:$E$77,2,FALSE)</f>
        <v>Approximated</v>
      </c>
      <c r="Q10" s="292" t="str">
        <f>VLOOKUP(Q$12,'Table of Contents'!$B$21:$E$77,2,FALSE)</f>
        <v>Approximated</v>
      </c>
      <c r="R10" s="292" t="str">
        <f>VLOOKUP(R$12,'Table of Contents'!$B$21:$E$77,2,FALSE)</f>
        <v>Researched</v>
      </c>
      <c r="S10" s="292" t="str">
        <f>VLOOKUP(S$12,'Table of Contents'!$B$21:$E$77,2,FALSE)</f>
        <v>Researched</v>
      </c>
      <c r="T10" s="292" t="str">
        <f>VLOOKUP(T$12,'Table of Contents'!$B$21:$E$77,2,FALSE)</f>
        <v>Researched</v>
      </c>
      <c r="U10" s="292" t="str">
        <f>VLOOKUP(U$12,'Table of Contents'!$B$21:$E$77,2,FALSE)</f>
        <v>Documented</v>
      </c>
      <c r="V10" s="292" t="str">
        <f>VLOOKUP(V$12,'Table of Contents'!$B$21:$E$77,2,FALSE)</f>
        <v>Documented</v>
      </c>
      <c r="W10" s="292" t="str">
        <f>VLOOKUP(W$12,'Table of Contents'!$B$21:$E$77,2,FALSE)</f>
        <v>Documented</v>
      </c>
      <c r="X10" s="292" t="str">
        <f>VLOOKUP(X$12,'Table of Contents'!$B$21:$E$77,2,FALSE)</f>
        <v>Researched</v>
      </c>
      <c r="Y10" s="292" t="str">
        <f>VLOOKUP(Y$12,'Table of Contents'!$B$21:$E$77,2,FALSE)</f>
        <v>Researched</v>
      </c>
      <c r="Z10" s="292" t="str">
        <f>VLOOKUP(Z$12,'Table of Contents'!$B$21:$E$77,2,FALSE)</f>
        <v>Researched</v>
      </c>
      <c r="AA10" s="292" t="str">
        <f>VLOOKUP(AA$12,'Table of Contents'!$B$21:$E$77,2,FALSE)</f>
        <v>Approximated</v>
      </c>
      <c r="AB10" s="292" t="str">
        <f>VLOOKUP(AB$12,'Table of Contents'!$B$21:$E$77,2,FALSE)</f>
        <v>Researched</v>
      </c>
      <c r="AC10" s="292" t="str">
        <f>VLOOKUP(AC$12,'Table of Contents'!$B$21:$E$77,2,FALSE)</f>
        <v>Researched</v>
      </c>
      <c r="AD10" s="292" t="str">
        <f>VLOOKUP(AD$12,'Table of Contents'!$B$21:$E$77,2,FALSE)</f>
        <v>Researched</v>
      </c>
      <c r="AE10" s="292" t="str">
        <f>VLOOKUP(AE$12,'Table of Contents'!$B$21:$E$77,2,FALSE)</f>
        <v>Researched</v>
      </c>
      <c r="AF10" s="292" t="str">
        <f>VLOOKUP(AF$12,'Table of Contents'!$B$21:$E$77,2,FALSE)</f>
        <v>Researched</v>
      </c>
      <c r="AG10" s="292" t="str">
        <f>VLOOKUP(AG$12,'Table of Contents'!$B$21:$E$77,2,FALSE)</f>
        <v>Researched</v>
      </c>
      <c r="AH10" s="248"/>
    </row>
    <row r="11" spans="1:51" s="143" customFormat="1" ht="30">
      <c r="A11" s="143" t="s">
        <v>3400</v>
      </c>
      <c r="B11" s="292" t="str">
        <f>VLOOKUP(B$12,'Table of Contents'!$B$21:$E$77,3,FALSE)</f>
        <v>Public Corp</v>
      </c>
      <c r="C11" s="292" t="str">
        <f>VLOOKUP(C$12,'Table of Contents'!$B$21:$E$77,3,FALSE)</f>
        <v>Public Corp</v>
      </c>
      <c r="D11" s="292" t="str">
        <f>VLOOKUP(D$12,'Table of Contents'!$B$21:$E$77,3,FALSE)</f>
        <v>Public Corp</v>
      </c>
      <c r="E11" s="292" t="str">
        <f>VLOOKUP(E$12,'Table of Contents'!$B$21:$E$77,3,FALSE)</f>
        <v>Public Corp</v>
      </c>
      <c r="F11" s="292" t="str">
        <f>VLOOKUP(F$12,'Table of Contents'!$B$21:$E$77,3,FALSE)</f>
        <v>Public Corp</v>
      </c>
      <c r="G11" s="292" t="str">
        <f>VLOOKUP(G$12,'Table of Contents'!$B$21:$E$77,3,FALSE)</f>
        <v>Public Corp</v>
      </c>
      <c r="H11" s="292" t="str">
        <f>VLOOKUP(H$12,'Table of Contents'!$B$21:$E$77,3,FALSE)</f>
        <v>Public Corp</v>
      </c>
      <c r="I11" s="292" t="str">
        <f>VLOOKUP(I$12,'Table of Contents'!$B$21:$E$77,3,FALSE)</f>
        <v>Public Corp</v>
      </c>
      <c r="J11" s="292" t="str">
        <f>VLOOKUP(J$12,'Table of Contents'!$B$21:$E$77,3,FALSE)</f>
        <v>Public Corp</v>
      </c>
      <c r="K11" s="292" t="str">
        <f>VLOOKUP(K$12,'Table of Contents'!$B$21:$E$77,3,FALSE)</f>
        <v>Public Corp</v>
      </c>
      <c r="L11" s="292" t="str">
        <f>VLOOKUP(L$12,'Table of Contents'!$B$21:$E$77,3,FALSE)</f>
        <v>Public Corp</v>
      </c>
      <c r="M11" s="292" t="str">
        <f>VLOOKUP(M$12,'Table of Contents'!$B$21:$E$77,3,FALSE)</f>
        <v>Public Corp</v>
      </c>
      <c r="N11" s="292" t="str">
        <f>VLOOKUP(N$12,'Table of Contents'!$B$21:$E$77,3,FALSE)</f>
        <v>Public Corp</v>
      </c>
      <c r="O11" s="292" t="str">
        <f>VLOOKUP(O$12,'Table of Contents'!$B$21:$E$77,3,FALSE)</f>
        <v>Public Corp</v>
      </c>
      <c r="P11" s="292" t="str">
        <f>VLOOKUP(P$12,'Table of Contents'!$B$21:$E$77,3,FALSE)</f>
        <v>Private Corp</v>
      </c>
      <c r="Q11" s="292" t="str">
        <f>VLOOKUP(Q$12,'Table of Contents'!$B$21:$E$77,3,FALSE)</f>
        <v>Public Corp</v>
      </c>
      <c r="R11" s="292" t="str">
        <f>VLOOKUP(R$12,'Table of Contents'!$B$21:$E$77,3,FALSE)</f>
        <v>Private Corp</v>
      </c>
      <c r="S11" s="292" t="str">
        <f>VLOOKUP(S$12,'Table of Contents'!$B$21:$E$77,3,FALSE)</f>
        <v>Public Corp</v>
      </c>
      <c r="T11" s="292" t="str">
        <f>VLOOKUP(T$12,'Table of Contents'!$B$21:$E$77,3,FALSE)</f>
        <v>Private Corp</v>
      </c>
      <c r="U11" s="292" t="str">
        <f>VLOOKUP(U$12,'Table of Contents'!$B$21:$E$77,3,FALSE)</f>
        <v>Pool</v>
      </c>
      <c r="V11" s="292" t="str">
        <f>VLOOKUP(V$12,'Table of Contents'!$B$21:$E$77,3,FALSE)</f>
        <v>Pool</v>
      </c>
      <c r="W11" s="292" t="str">
        <f>VLOOKUP(W$12,'Table of Contents'!$B$21:$E$77,3,FALSE)</f>
        <v>Pool</v>
      </c>
      <c r="X11" s="292" t="str">
        <f>VLOOKUP(X$12,'Table of Contents'!$B$21:$E$77,3,FALSE)</f>
        <v>Pool</v>
      </c>
      <c r="Y11" s="292" t="str">
        <f>VLOOKUP(Y$12,'Table of Contents'!$B$21:$E$77,3,FALSE)</f>
        <v>Public Corp</v>
      </c>
      <c r="Z11" s="292" t="str">
        <f>VLOOKUP(Z$12,'Table of Contents'!$B$21:$E$77,3,FALSE)</f>
        <v>Public Corp</v>
      </c>
      <c r="AA11" s="292" t="str">
        <f>VLOOKUP(AA$12,'Table of Contents'!$B$21:$E$77,3,FALSE)</f>
        <v>Pool</v>
      </c>
      <c r="AB11" s="292" t="str">
        <f>VLOOKUP(AB$12,'Table of Contents'!$B$21:$E$77,3,FALSE)</f>
        <v>Pool</v>
      </c>
      <c r="AC11" s="292" t="str">
        <f>VLOOKUP(AC$12,'Table of Contents'!$B$21:$E$77,3,FALSE)</f>
        <v>Pool</v>
      </c>
      <c r="AD11" s="292" t="str">
        <f>VLOOKUP(AD$12,'Table of Contents'!$B$21:$E$77,3,FALSE)</f>
        <v>Pool</v>
      </c>
      <c r="AE11" s="292" t="str">
        <f>VLOOKUP(AE$12,'Table of Contents'!$B$21:$E$77,3,FALSE)</f>
        <v>Private Corp</v>
      </c>
      <c r="AF11" s="292" t="str">
        <f>VLOOKUP(AF$12,'Table of Contents'!$B$21:$E$77,3,FALSE)</f>
        <v>Private Corp</v>
      </c>
      <c r="AG11" s="292" t="str">
        <f>VLOOKUP(AG$12,'Table of Contents'!$B$21:$E$77,3,FALSE)</f>
        <v>Private Corp</v>
      </c>
      <c r="AH11" s="248"/>
      <c r="AI11" s="385" t="s">
        <v>3402</v>
      </c>
      <c r="AJ11" s="385"/>
      <c r="AK11" s="385"/>
      <c r="AL11" s="385"/>
    </row>
    <row r="12" spans="1:51" s="143" customFormat="1" ht="30">
      <c r="A12" s="201" t="s">
        <v>3254</v>
      </c>
      <c r="B12" s="201" t="s">
        <v>2878</v>
      </c>
      <c r="C12" s="201" t="s">
        <v>2879</v>
      </c>
      <c r="D12" s="201" t="s">
        <v>2880</v>
      </c>
      <c r="E12" s="249" t="s">
        <v>3052</v>
      </c>
      <c r="F12" s="201" t="s">
        <v>5</v>
      </c>
      <c r="G12" s="201" t="s">
        <v>2881</v>
      </c>
      <c r="H12" s="201" t="s">
        <v>2882</v>
      </c>
      <c r="I12" s="201" t="s">
        <v>2118</v>
      </c>
      <c r="J12" s="201" t="s">
        <v>123</v>
      </c>
      <c r="K12" s="201" t="s">
        <v>205</v>
      </c>
      <c r="L12" s="201" t="s">
        <v>3030</v>
      </c>
      <c r="M12" s="201" t="s">
        <v>2884</v>
      </c>
      <c r="N12" s="201" t="s">
        <v>2886</v>
      </c>
      <c r="O12" s="249" t="s">
        <v>2885</v>
      </c>
      <c r="P12" s="201" t="s">
        <v>97</v>
      </c>
      <c r="Q12" s="249" t="s">
        <v>1336</v>
      </c>
      <c r="R12" s="249" t="s">
        <v>2923</v>
      </c>
      <c r="S12" s="201" t="s">
        <v>207</v>
      </c>
      <c r="T12" s="249" t="s">
        <v>2883</v>
      </c>
      <c r="U12" s="201" t="s">
        <v>2117</v>
      </c>
      <c r="V12" s="201" t="s">
        <v>3053</v>
      </c>
      <c r="W12" s="201" t="s">
        <v>3035</v>
      </c>
      <c r="X12" s="201" t="s">
        <v>3255</v>
      </c>
      <c r="Y12" s="249" t="s">
        <v>3033</v>
      </c>
      <c r="Z12" s="249" t="s">
        <v>3032</v>
      </c>
      <c r="AA12" s="249" t="s">
        <v>3034</v>
      </c>
      <c r="AB12" s="249" t="s">
        <v>3349</v>
      </c>
      <c r="AC12" s="249" t="s">
        <v>3352</v>
      </c>
      <c r="AD12" s="249" t="s">
        <v>2873</v>
      </c>
      <c r="AE12" s="249" t="s">
        <v>3355</v>
      </c>
      <c r="AF12" s="249" t="s">
        <v>3137</v>
      </c>
      <c r="AG12" s="249" t="s">
        <v>2877</v>
      </c>
      <c r="AH12" s="253" t="s">
        <v>94</v>
      </c>
      <c r="AI12" s="245" t="s">
        <v>3004</v>
      </c>
      <c r="AJ12" s="245" t="s">
        <v>3025</v>
      </c>
      <c r="AK12" s="245" t="s">
        <v>3136</v>
      </c>
      <c r="AL12" s="245" t="s">
        <v>3135</v>
      </c>
      <c r="AM12" s="311" t="s">
        <v>3401</v>
      </c>
      <c r="AO12" s="245" t="s">
        <v>3385</v>
      </c>
      <c r="AP12" s="245" t="s">
        <v>3386</v>
      </c>
      <c r="AQ12" s="245" t="s">
        <v>3387</v>
      </c>
      <c r="AR12" s="311" t="s">
        <v>3401</v>
      </c>
    </row>
    <row r="13" spans="1:51" s="16" customFormat="1">
      <c r="A13" s="207">
        <v>2000</v>
      </c>
      <c r="B13" s="243">
        <f>'2.1 Qualcomm'!B10</f>
        <v>671185000</v>
      </c>
      <c r="C13" s="243"/>
      <c r="D13" s="243"/>
      <c r="E13" s="243"/>
      <c r="F13" s="243"/>
      <c r="G13" s="243"/>
      <c r="H13" s="243"/>
      <c r="I13" s="244"/>
      <c r="J13" s="243"/>
      <c r="K13" s="244"/>
      <c r="L13" s="244"/>
      <c r="M13" s="243"/>
      <c r="N13" s="243"/>
      <c r="O13" s="244"/>
      <c r="P13" s="243"/>
      <c r="Q13" s="244"/>
      <c r="R13" s="243">
        <f>0.33*130000000</f>
        <v>42900000</v>
      </c>
      <c r="S13" s="244"/>
      <c r="T13" s="244"/>
      <c r="U13" s="244"/>
      <c r="V13" s="244"/>
      <c r="W13" s="244"/>
      <c r="X13" s="243"/>
      <c r="Y13" s="244"/>
      <c r="Z13" s="244"/>
      <c r="AA13" s="244"/>
      <c r="AB13" s="244"/>
      <c r="AC13" s="244"/>
      <c r="AD13" s="243"/>
      <c r="AE13" s="244"/>
      <c r="AF13" s="244"/>
      <c r="AG13" s="244"/>
      <c r="AH13" s="254">
        <f t="shared" ref="AH13:AH28" si="6">SUM(B13:AG13)</f>
        <v>714085000</v>
      </c>
      <c r="AI13" s="243">
        <f t="shared" ref="AI13:AL28" si="7">SUMIF($B$10:$AG$10,AI$12,$B13:$AG13)</f>
        <v>671185000</v>
      </c>
      <c r="AJ13" s="243">
        <f t="shared" si="7"/>
        <v>0</v>
      </c>
      <c r="AK13" s="243">
        <f t="shared" si="7"/>
        <v>0</v>
      </c>
      <c r="AL13" s="243">
        <f t="shared" si="7"/>
        <v>42900000</v>
      </c>
      <c r="AM13" s="312">
        <f t="shared" ref="AM13:AM28" si="8">IF(SUM(AI13:AL13)-AH13=0,0,1)</f>
        <v>0</v>
      </c>
      <c r="AO13" s="243">
        <f>SUMIF($B$11:$AG$11,AO$12,$B13:$AG13)</f>
        <v>671185000</v>
      </c>
      <c r="AP13" s="243">
        <f t="shared" ref="AP13:AQ28" si="9">SUMIF($B$11:$AG$11,AP$12,$B13:$AG13)</f>
        <v>42900000</v>
      </c>
      <c r="AQ13" s="243">
        <f t="shared" si="9"/>
        <v>0</v>
      </c>
      <c r="AR13" s="312">
        <f>IF(SUM(AN13:AQ13)-AH13=0,0,1)</f>
        <v>0</v>
      </c>
    </row>
    <row r="14" spans="1:51" s="16" customFormat="1">
      <c r="A14" s="207">
        <f t="shared" ref="A14:A28" si="10">A13+1</f>
        <v>2001</v>
      </c>
      <c r="B14" s="243">
        <f>'2.1 Qualcomm'!B11</f>
        <v>771930000</v>
      </c>
      <c r="C14" s="243"/>
      <c r="D14" s="243"/>
      <c r="E14" s="243"/>
      <c r="F14" s="243"/>
      <c r="G14" s="243"/>
      <c r="H14" s="243"/>
      <c r="I14" s="244"/>
      <c r="J14" s="243"/>
      <c r="K14" s="244"/>
      <c r="L14" s="244"/>
      <c r="M14" s="243"/>
      <c r="N14" s="243"/>
      <c r="O14"/>
      <c r="P14"/>
      <c r="Q14"/>
      <c r="R14" s="243">
        <f t="shared" ref="R14:R22" si="11">0.33*130000000</f>
        <v>42900000</v>
      </c>
      <c r="S14"/>
      <c r="T14"/>
      <c r="U14"/>
      <c r="V14"/>
      <c r="W14"/>
      <c r="X14"/>
      <c r="Y14" s="244"/>
      <c r="Z14"/>
      <c r="AA14"/>
      <c r="AB14"/>
      <c r="AC14"/>
      <c r="AD14"/>
      <c r="AE14"/>
      <c r="AF14"/>
      <c r="AG14"/>
      <c r="AH14" s="254">
        <f t="shared" si="6"/>
        <v>814830000</v>
      </c>
      <c r="AI14" s="243">
        <f t="shared" si="7"/>
        <v>771930000</v>
      </c>
      <c r="AJ14" s="243">
        <f t="shared" si="7"/>
        <v>0</v>
      </c>
      <c r="AK14" s="243">
        <f t="shared" si="7"/>
        <v>0</v>
      </c>
      <c r="AL14" s="243">
        <f t="shared" si="7"/>
        <v>42900000</v>
      </c>
      <c r="AM14" s="312">
        <f t="shared" si="8"/>
        <v>0</v>
      </c>
      <c r="AO14" s="243">
        <f t="shared" ref="AO14:AO28" si="12">SUMIF($B$11:$AG$11,AO$12,$B14:$AG14)</f>
        <v>771930000</v>
      </c>
      <c r="AP14" s="243">
        <f t="shared" si="9"/>
        <v>42900000</v>
      </c>
      <c r="AQ14" s="243">
        <f t="shared" si="9"/>
        <v>0</v>
      </c>
      <c r="AR14" s="312">
        <f t="shared" ref="AR14:AR28" si="13">IF(SUM(AN14:AQ14)-AH14=0,0,1)</f>
        <v>0</v>
      </c>
    </row>
    <row r="15" spans="1:51" s="16" customFormat="1">
      <c r="A15" s="207">
        <f t="shared" si="10"/>
        <v>2002</v>
      </c>
      <c r="B15" s="243">
        <f>'2.1 Qualcomm'!B12</f>
        <v>835000000</v>
      </c>
      <c r="C15" s="243"/>
      <c r="D15" s="243"/>
      <c r="E15" s="243"/>
      <c r="F15" s="243"/>
      <c r="G15" s="243"/>
      <c r="H15" s="243"/>
      <c r="I15" s="244"/>
      <c r="J15" s="243"/>
      <c r="K15" s="244"/>
      <c r="L15" s="244"/>
      <c r="M15" s="243"/>
      <c r="N15" s="243"/>
      <c r="O15"/>
      <c r="P15"/>
      <c r="Q15"/>
      <c r="R15" s="243">
        <f t="shared" si="11"/>
        <v>42900000</v>
      </c>
      <c r="S15"/>
      <c r="T15"/>
      <c r="U15"/>
      <c r="V15"/>
      <c r="W15"/>
      <c r="X15"/>
      <c r="Y15" s="244"/>
      <c r="Z15"/>
      <c r="AA15"/>
      <c r="AB15"/>
      <c r="AC15"/>
      <c r="AD15"/>
      <c r="AE15"/>
      <c r="AF15"/>
      <c r="AG15"/>
      <c r="AH15" s="254">
        <f t="shared" si="6"/>
        <v>877900000</v>
      </c>
      <c r="AI15" s="243">
        <f t="shared" si="7"/>
        <v>835000000</v>
      </c>
      <c r="AJ15" s="243">
        <f t="shared" si="7"/>
        <v>0</v>
      </c>
      <c r="AK15" s="243">
        <f t="shared" si="7"/>
        <v>0</v>
      </c>
      <c r="AL15" s="243">
        <f t="shared" si="7"/>
        <v>42900000</v>
      </c>
      <c r="AM15" s="312">
        <f t="shared" si="8"/>
        <v>0</v>
      </c>
      <c r="AO15" s="243">
        <f t="shared" si="12"/>
        <v>835000000</v>
      </c>
      <c r="AP15" s="243">
        <f t="shared" si="9"/>
        <v>42900000</v>
      </c>
      <c r="AQ15" s="243">
        <f t="shared" si="9"/>
        <v>0</v>
      </c>
      <c r="AR15" s="312">
        <f t="shared" si="13"/>
        <v>0</v>
      </c>
    </row>
    <row r="16" spans="1:51" s="16" customFormat="1">
      <c r="A16" s="207">
        <f t="shared" si="10"/>
        <v>2003</v>
      </c>
      <c r="B16" s="243">
        <f>'2.1 Qualcomm'!B13</f>
        <v>985000000</v>
      </c>
      <c r="C16" s="243"/>
      <c r="D16" s="243"/>
      <c r="E16" s="243"/>
      <c r="F16" s="243"/>
      <c r="G16" s="243"/>
      <c r="H16" s="243"/>
      <c r="I16" s="244"/>
      <c r="J16" s="243"/>
      <c r="K16" s="244"/>
      <c r="L16" s="244"/>
      <c r="M16" s="243"/>
      <c r="N16" s="243"/>
      <c r="O16"/>
      <c r="P16"/>
      <c r="Q16"/>
      <c r="R16" s="243">
        <f t="shared" si="11"/>
        <v>42900000</v>
      </c>
      <c r="S16"/>
      <c r="T16"/>
      <c r="U16"/>
      <c r="V16"/>
      <c r="W16"/>
      <c r="X16"/>
      <c r="Y16" s="244"/>
      <c r="Z16"/>
      <c r="AA16"/>
      <c r="AB16"/>
      <c r="AC16"/>
      <c r="AD16"/>
      <c r="AE16"/>
      <c r="AF16"/>
      <c r="AG16"/>
      <c r="AH16" s="254">
        <f t="shared" si="6"/>
        <v>1027900000</v>
      </c>
      <c r="AI16" s="243">
        <f t="shared" si="7"/>
        <v>985000000</v>
      </c>
      <c r="AJ16" s="243">
        <f t="shared" si="7"/>
        <v>0</v>
      </c>
      <c r="AK16" s="243">
        <f t="shared" si="7"/>
        <v>0</v>
      </c>
      <c r="AL16" s="243">
        <f t="shared" si="7"/>
        <v>42900000</v>
      </c>
      <c r="AM16" s="312">
        <f t="shared" si="8"/>
        <v>0</v>
      </c>
      <c r="AO16" s="243">
        <f t="shared" si="12"/>
        <v>985000000</v>
      </c>
      <c r="AP16" s="243">
        <f t="shared" si="9"/>
        <v>42900000</v>
      </c>
      <c r="AQ16" s="243">
        <f t="shared" si="9"/>
        <v>0</v>
      </c>
      <c r="AR16" s="312">
        <f t="shared" si="13"/>
        <v>0</v>
      </c>
    </row>
    <row r="17" spans="1:44" s="16" customFormat="1">
      <c r="A17" s="207">
        <f t="shared" si="10"/>
        <v>2004</v>
      </c>
      <c r="B17" s="243">
        <f>'2.1 Qualcomm'!B14</f>
        <v>1366000000</v>
      </c>
      <c r="C17" s="243">
        <f>'2.4 Interdigital'!E10</f>
        <v>103400000</v>
      </c>
      <c r="D17" s="243">
        <f>'2.2 Ericsson'!I9</f>
        <v>339914817.18352407</v>
      </c>
      <c r="E17" s="243"/>
      <c r="F17" s="243"/>
      <c r="G17" s="243"/>
      <c r="H17" s="243"/>
      <c r="I17" s="244"/>
      <c r="J17" s="243"/>
      <c r="K17" s="244"/>
      <c r="L17" s="244"/>
      <c r="M17" s="243"/>
      <c r="N17" s="243"/>
      <c r="O17"/>
      <c r="P17"/>
      <c r="Q17"/>
      <c r="R17" s="243">
        <f t="shared" si="11"/>
        <v>42900000</v>
      </c>
      <c r="S17"/>
      <c r="T17"/>
      <c r="U17"/>
      <c r="V17"/>
      <c r="W17"/>
      <c r="X17"/>
      <c r="Y17" s="244"/>
      <c r="Z17"/>
      <c r="AA17"/>
      <c r="AB17"/>
      <c r="AC17"/>
      <c r="AD17"/>
      <c r="AE17"/>
      <c r="AF17"/>
      <c r="AG17"/>
      <c r="AH17" s="254">
        <f t="shared" si="6"/>
        <v>1852214817.1835241</v>
      </c>
      <c r="AI17" s="243">
        <f t="shared" si="7"/>
        <v>1809314817.1835241</v>
      </c>
      <c r="AJ17" s="243">
        <f t="shared" si="7"/>
        <v>0</v>
      </c>
      <c r="AK17" s="243">
        <f t="shared" si="7"/>
        <v>0</v>
      </c>
      <c r="AL17" s="243">
        <f t="shared" si="7"/>
        <v>42900000</v>
      </c>
      <c r="AM17" s="312">
        <f t="shared" si="8"/>
        <v>0</v>
      </c>
      <c r="AO17" s="243">
        <f t="shared" si="12"/>
        <v>1809314817.1835241</v>
      </c>
      <c r="AP17" s="243">
        <f t="shared" si="9"/>
        <v>42900000</v>
      </c>
      <c r="AQ17" s="243">
        <f t="shared" si="9"/>
        <v>0</v>
      </c>
      <c r="AR17" s="312">
        <f t="shared" si="13"/>
        <v>0</v>
      </c>
    </row>
    <row r="18" spans="1:44" s="16" customFormat="1">
      <c r="A18" s="207">
        <f t="shared" si="10"/>
        <v>2005</v>
      </c>
      <c r="B18" s="243">
        <f>'2.1 Qualcomm'!B15</f>
        <v>1929000000</v>
      </c>
      <c r="C18" s="243">
        <f>'2.4 Interdigital'!E11</f>
        <v>144100000</v>
      </c>
      <c r="D18" s="243">
        <f>'2.2 Ericsson'!I10</f>
        <v>489302793.85854518</v>
      </c>
      <c r="E18" s="243"/>
      <c r="F18" s="243"/>
      <c r="G18" s="243">
        <f>'3.9 Parkervision'!B13</f>
        <v>0</v>
      </c>
      <c r="H18" s="243"/>
      <c r="I18" s="244"/>
      <c r="J18" s="243"/>
      <c r="K18" s="244"/>
      <c r="L18" s="244"/>
      <c r="M18" s="243"/>
      <c r="N18" s="243"/>
      <c r="O18"/>
      <c r="P18"/>
      <c r="Q18"/>
      <c r="R18" s="243">
        <f t="shared" si="11"/>
        <v>42900000</v>
      </c>
      <c r="S18"/>
      <c r="T18"/>
      <c r="U18"/>
      <c r="V18"/>
      <c r="W18"/>
      <c r="X18"/>
      <c r="Y18" s="244"/>
      <c r="Z18"/>
      <c r="AA18"/>
      <c r="AB18"/>
      <c r="AC18"/>
      <c r="AD18"/>
      <c r="AE18"/>
      <c r="AF18"/>
      <c r="AG18"/>
      <c r="AH18" s="254">
        <f t="shared" si="6"/>
        <v>2605302793.8585453</v>
      </c>
      <c r="AI18" s="243">
        <f t="shared" si="7"/>
        <v>2562402793.8585453</v>
      </c>
      <c r="AJ18" s="243">
        <f t="shared" si="7"/>
        <v>0</v>
      </c>
      <c r="AK18" s="243">
        <f t="shared" si="7"/>
        <v>0</v>
      </c>
      <c r="AL18" s="243">
        <f t="shared" si="7"/>
        <v>42900000</v>
      </c>
      <c r="AM18" s="312">
        <f t="shared" si="8"/>
        <v>0</v>
      </c>
      <c r="AO18" s="243">
        <f t="shared" si="12"/>
        <v>2562402793.8585453</v>
      </c>
      <c r="AP18" s="243">
        <f t="shared" si="9"/>
        <v>42900000</v>
      </c>
      <c r="AQ18" s="243">
        <f t="shared" si="9"/>
        <v>0</v>
      </c>
      <c r="AR18" s="312">
        <f t="shared" si="13"/>
        <v>0</v>
      </c>
    </row>
    <row r="19" spans="1:44" s="16" customFormat="1">
      <c r="A19" s="207">
        <f t="shared" si="10"/>
        <v>2006</v>
      </c>
      <c r="B19" s="243">
        <f>'2.1 Qualcomm'!B16</f>
        <v>2750000000</v>
      </c>
      <c r="C19" s="243">
        <f>'2.4 Interdigital'!E12</f>
        <v>473600000</v>
      </c>
      <c r="D19" s="243">
        <f>'2.2 Ericsson'!I11</f>
        <v>766087844.73953021</v>
      </c>
      <c r="E19" s="243"/>
      <c r="F19" s="243"/>
      <c r="G19" s="243">
        <f>'3.9 Parkervision'!B14</f>
        <v>0</v>
      </c>
      <c r="H19" s="243"/>
      <c r="I19" s="244"/>
      <c r="J19" s="243"/>
      <c r="K19" s="244"/>
      <c r="L19" s="244"/>
      <c r="M19" s="243"/>
      <c r="N19" s="243"/>
      <c r="O19"/>
      <c r="P19"/>
      <c r="Q19"/>
      <c r="R19" s="243">
        <f t="shared" si="11"/>
        <v>42900000</v>
      </c>
      <c r="S19"/>
      <c r="T19"/>
      <c r="U19"/>
      <c r="V19"/>
      <c r="W19"/>
      <c r="X19"/>
      <c r="Y19" s="244"/>
      <c r="Z19"/>
      <c r="AA19"/>
      <c r="AB19"/>
      <c r="AC19"/>
      <c r="AD19"/>
      <c r="AE19"/>
      <c r="AF19"/>
      <c r="AG19"/>
      <c r="AH19" s="254">
        <f t="shared" si="6"/>
        <v>4032587844.7395301</v>
      </c>
      <c r="AI19" s="243">
        <f t="shared" si="7"/>
        <v>3989687844.7395301</v>
      </c>
      <c r="AJ19" s="243">
        <f t="shared" si="7"/>
        <v>0</v>
      </c>
      <c r="AK19" s="243">
        <f t="shared" si="7"/>
        <v>0</v>
      </c>
      <c r="AL19" s="243">
        <f t="shared" si="7"/>
        <v>42900000</v>
      </c>
      <c r="AM19" s="312">
        <f t="shared" si="8"/>
        <v>0</v>
      </c>
      <c r="AO19" s="243">
        <f t="shared" si="12"/>
        <v>3989687844.7395301</v>
      </c>
      <c r="AP19" s="243">
        <f t="shared" si="9"/>
        <v>42900000</v>
      </c>
      <c r="AQ19" s="243">
        <f t="shared" si="9"/>
        <v>0</v>
      </c>
      <c r="AR19" s="312">
        <f t="shared" si="13"/>
        <v>0</v>
      </c>
    </row>
    <row r="20" spans="1:44" s="16" customFormat="1">
      <c r="A20" s="207">
        <f t="shared" si="10"/>
        <v>2007</v>
      </c>
      <c r="B20" s="243">
        <f>'2.1 Qualcomm'!B17</f>
        <v>3106000000</v>
      </c>
      <c r="C20" s="243">
        <f>'2.4 Interdigital'!E13</f>
        <v>230800000</v>
      </c>
      <c r="D20" s="243">
        <f>'2.2 Ericsson'!I12</f>
        <v>1064551083.5913312</v>
      </c>
      <c r="E20"/>
      <c r="F20"/>
      <c r="G20" s="243">
        <f>'3.9 Parkervision'!B15</f>
        <v>0</v>
      </c>
      <c r="H20" s="243">
        <f>'3.11 VirnetX'!B21</f>
        <v>75000</v>
      </c>
      <c r="I20"/>
      <c r="J20"/>
      <c r="K20" s="244">
        <f>'3.8 WiLAN'!B32</f>
        <v>61270000</v>
      </c>
      <c r="L20" s="244">
        <f>'3.7 Acacia Technologies'!D31</f>
        <v>52597000</v>
      </c>
      <c r="M20" s="243">
        <f>'3.5 Tessera'!E92</f>
        <v>49416547.94520548</v>
      </c>
      <c r="N20" s="243">
        <f>'3.6 Rambus'!F91</f>
        <v>50919000</v>
      </c>
      <c r="O20"/>
      <c r="P20"/>
      <c r="Q20"/>
      <c r="R20" s="243">
        <f t="shared" si="11"/>
        <v>42900000</v>
      </c>
      <c r="S20"/>
      <c r="T20"/>
      <c r="U20"/>
      <c r="V20"/>
      <c r="W20"/>
      <c r="X20"/>
      <c r="Y20" s="244"/>
      <c r="Z20"/>
      <c r="AA20"/>
      <c r="AB20"/>
      <c r="AC20"/>
      <c r="AD20"/>
      <c r="AE20"/>
      <c r="AF20"/>
      <c r="AG20"/>
      <c r="AH20" s="254">
        <f t="shared" si="6"/>
        <v>4658528631.5365372</v>
      </c>
      <c r="AI20" s="243">
        <f t="shared" si="7"/>
        <v>4401426083.5913315</v>
      </c>
      <c r="AJ20" s="243">
        <f t="shared" si="7"/>
        <v>0</v>
      </c>
      <c r="AK20" s="243">
        <f t="shared" si="7"/>
        <v>214202547.94520548</v>
      </c>
      <c r="AL20" s="243">
        <f t="shared" si="7"/>
        <v>42900000</v>
      </c>
      <c r="AM20" s="312">
        <f t="shared" si="8"/>
        <v>0</v>
      </c>
      <c r="AO20" s="243">
        <f t="shared" si="12"/>
        <v>4615628631.5365372</v>
      </c>
      <c r="AP20" s="243">
        <f t="shared" si="9"/>
        <v>42900000</v>
      </c>
      <c r="AQ20" s="243">
        <f t="shared" si="9"/>
        <v>0</v>
      </c>
      <c r="AR20" s="312">
        <f t="shared" si="13"/>
        <v>0</v>
      </c>
    </row>
    <row r="21" spans="1:44" s="16" customFormat="1">
      <c r="A21" s="207">
        <f t="shared" si="10"/>
        <v>2008</v>
      </c>
      <c r="B21" s="243">
        <f>'2.1 Qualcomm'!B18</f>
        <v>3982000000</v>
      </c>
      <c r="C21" s="243">
        <f>'2.4 Interdigital'!E14</f>
        <v>216500000</v>
      </c>
      <c r="D21" s="243">
        <f>'2.2 Ericsson'!I13</f>
        <v>1155657084.8404086</v>
      </c>
      <c r="E21"/>
      <c r="F21"/>
      <c r="G21" s="243">
        <f>'3.9 Parkervision'!B16</f>
        <v>0</v>
      </c>
      <c r="H21" s="243">
        <f>'3.11 VirnetX'!B22</f>
        <v>134000</v>
      </c>
      <c r="I21"/>
      <c r="J21"/>
      <c r="K21" s="244">
        <f>'3.8 WiLAN'!B31</f>
        <v>26564000</v>
      </c>
      <c r="L21" s="244">
        <f>'3.7 Acacia Technologies'!D32</f>
        <v>48227000</v>
      </c>
      <c r="M21" s="243">
        <f>'3.5 Tessera'!E93</f>
        <v>78882367.123287678</v>
      </c>
      <c r="N21" s="243">
        <f>'3.6 Rambus'!F92</f>
        <v>41877000</v>
      </c>
      <c r="O21"/>
      <c r="P21"/>
      <c r="Q21"/>
      <c r="R21" s="243">
        <f t="shared" si="11"/>
        <v>42900000</v>
      </c>
      <c r="S21"/>
      <c r="T21"/>
      <c r="U21"/>
      <c r="V21"/>
      <c r="W21"/>
      <c r="X21"/>
      <c r="Y21"/>
      <c r="Z21"/>
      <c r="AA21"/>
      <c r="AB21"/>
      <c r="AC21"/>
      <c r="AD21"/>
      <c r="AE21"/>
      <c r="AF21"/>
      <c r="AG21"/>
      <c r="AH21" s="254">
        <f t="shared" si="6"/>
        <v>5592741451.9636955</v>
      </c>
      <c r="AI21" s="243">
        <f t="shared" si="7"/>
        <v>5354291084.8404083</v>
      </c>
      <c r="AJ21" s="243">
        <f t="shared" si="7"/>
        <v>0</v>
      </c>
      <c r="AK21" s="243">
        <f t="shared" si="7"/>
        <v>195550367.12328768</v>
      </c>
      <c r="AL21" s="243">
        <f t="shared" si="7"/>
        <v>42900000</v>
      </c>
      <c r="AM21" s="312">
        <f t="shared" si="8"/>
        <v>0</v>
      </c>
      <c r="AO21" s="243">
        <f t="shared" si="12"/>
        <v>5549841451.9636955</v>
      </c>
      <c r="AP21" s="243">
        <f t="shared" si="9"/>
        <v>42900000</v>
      </c>
      <c r="AQ21" s="243">
        <f t="shared" si="9"/>
        <v>0</v>
      </c>
      <c r="AR21" s="312">
        <f t="shared" si="13"/>
        <v>0</v>
      </c>
    </row>
    <row r="22" spans="1:44" s="92" customFormat="1">
      <c r="A22" s="272">
        <f t="shared" si="10"/>
        <v>2009</v>
      </c>
      <c r="B22" s="343">
        <f>'2.1 Qualcomm'!B19</f>
        <v>3950000000</v>
      </c>
      <c r="C22" s="343">
        <f>'2.4 Interdigital'!E15</f>
        <v>287600000</v>
      </c>
      <c r="D22" s="343">
        <f>'2.2 Ericsson'!I14</f>
        <v>1138156749.5187881</v>
      </c>
      <c r="E22" s="343">
        <f>'2.3.1 Alcatel-Lucent (Nokia)'!D17</f>
        <v>255197132.61648744</v>
      </c>
      <c r="F22" s="343">
        <f>'2.3 Nokia'!D15</f>
        <v>717360114.77761841</v>
      </c>
      <c r="G22" s="343">
        <f>'3.9 Parkervision'!B17</f>
        <v>0</v>
      </c>
      <c r="H22" s="343">
        <f>'3.11 VirnetX'!B23</f>
        <v>26000</v>
      </c>
      <c r="I22" s="344">
        <v>0</v>
      </c>
      <c r="J22" s="343">
        <f>'2.5 Microsoft'!B13</f>
        <v>0</v>
      </c>
      <c r="K22" s="344">
        <f>'3.8 WiLAN'!B30</f>
        <v>35425000</v>
      </c>
      <c r="L22" s="344">
        <f>'3.7 Acacia Technologies'!D33</f>
        <v>67340000</v>
      </c>
      <c r="M22" s="343">
        <f>'3.5 Tessera'!E94</f>
        <v>95055660.273972601</v>
      </c>
      <c r="N22" s="343">
        <f>'3.6 Rambus'!F93</f>
        <v>35640000</v>
      </c>
      <c r="O22" s="212"/>
      <c r="P22" s="212"/>
      <c r="Q22" s="212"/>
      <c r="R22" s="343">
        <f t="shared" si="11"/>
        <v>42900000</v>
      </c>
      <c r="S22" s="212"/>
      <c r="T22" s="212"/>
      <c r="U22" s="212"/>
      <c r="V22" s="212"/>
      <c r="W22" s="212"/>
      <c r="X22" s="212"/>
      <c r="Y22" s="344"/>
      <c r="Z22" s="344">
        <v>0</v>
      </c>
      <c r="AA22" s="344"/>
      <c r="AB22" s="344"/>
      <c r="AC22" s="344"/>
      <c r="AD22" s="212"/>
      <c r="AE22" s="212"/>
      <c r="AF22" s="212"/>
      <c r="AG22" s="212"/>
      <c r="AH22" s="345">
        <f t="shared" si="6"/>
        <v>6624700657.1868668</v>
      </c>
      <c r="AI22" s="343">
        <f t="shared" si="7"/>
        <v>6348339996.9128942</v>
      </c>
      <c r="AJ22" s="343">
        <f t="shared" si="7"/>
        <v>0</v>
      </c>
      <c r="AK22" s="343">
        <f t="shared" si="7"/>
        <v>233460660.2739726</v>
      </c>
      <c r="AL22" s="343">
        <f t="shared" si="7"/>
        <v>42900000</v>
      </c>
      <c r="AM22" s="346">
        <f t="shared" si="8"/>
        <v>0</v>
      </c>
      <c r="AO22" s="343">
        <f t="shared" si="12"/>
        <v>6581800657.1868668</v>
      </c>
      <c r="AP22" s="343">
        <f t="shared" si="9"/>
        <v>42900000</v>
      </c>
      <c r="AQ22" s="343">
        <f t="shared" si="9"/>
        <v>0</v>
      </c>
      <c r="AR22" s="312">
        <f t="shared" si="13"/>
        <v>0</v>
      </c>
    </row>
    <row r="23" spans="1:44" s="16" customFormat="1">
      <c r="A23" s="207">
        <f t="shared" si="10"/>
        <v>2010</v>
      </c>
      <c r="B23" s="243">
        <f>'2.1 Qualcomm'!B20</f>
        <v>4011000000</v>
      </c>
      <c r="C23" s="243">
        <f>'2.4 Interdigital'!E16</f>
        <v>370231000</v>
      </c>
      <c r="D23" s="243">
        <f>'2.2 Ericsson'!I15</f>
        <v>1244926831.4446328</v>
      </c>
      <c r="E23" s="243">
        <f>'2.3.1 Alcatel-Lucent (Nokia)'!D18</f>
        <v>182265805.19269916</v>
      </c>
      <c r="F23" s="243">
        <f>'2.3 Nokia'!D16</f>
        <v>763908154.11645985</v>
      </c>
      <c r="G23" s="243">
        <f>'3.9 Parkervision'!B18</f>
        <v>0</v>
      </c>
      <c r="H23" s="243">
        <f>'3.11 VirnetX'!B24</f>
        <v>68000</v>
      </c>
      <c r="I23" s="244">
        <v>0</v>
      </c>
      <c r="J23" s="243">
        <f>'2.5 Microsoft'!B14</f>
        <v>0</v>
      </c>
      <c r="K23" s="244">
        <f>'3.8 WiLAN'!B29</f>
        <v>45557000</v>
      </c>
      <c r="L23" s="244">
        <f>'3.7 Acacia Technologies'!D34</f>
        <v>131829000</v>
      </c>
      <c r="M23" s="243">
        <f>'3.5 Tessera'!E95</f>
        <v>90407158.904109597</v>
      </c>
      <c r="N23" s="243">
        <f>'3.6 Rambus'!F94</f>
        <v>105651150</v>
      </c>
      <c r="O23"/>
      <c r="P23"/>
      <c r="Q23"/>
      <c r="R23" s="243">
        <f>0.33*700000000</f>
        <v>231000000</v>
      </c>
      <c r="S23"/>
      <c r="T23"/>
      <c r="U23"/>
      <c r="V23"/>
      <c r="W23"/>
      <c r="X23"/>
      <c r="Y23" s="244"/>
      <c r="Z23" s="244">
        <v>0</v>
      </c>
      <c r="AA23" s="244"/>
      <c r="AB23" s="244"/>
      <c r="AC23" s="244"/>
      <c r="AD23"/>
      <c r="AE23"/>
      <c r="AF23"/>
      <c r="AG23"/>
      <c r="AH23" s="254">
        <f t="shared" si="6"/>
        <v>7176844099.6579018</v>
      </c>
      <c r="AI23" s="243">
        <f t="shared" si="7"/>
        <v>6572399790.7537918</v>
      </c>
      <c r="AJ23" s="243">
        <f t="shared" si="7"/>
        <v>0</v>
      </c>
      <c r="AK23" s="243">
        <f t="shared" si="7"/>
        <v>373444308.9041096</v>
      </c>
      <c r="AL23" s="243">
        <f t="shared" si="7"/>
        <v>231000000</v>
      </c>
      <c r="AM23" s="312">
        <f t="shared" si="8"/>
        <v>0</v>
      </c>
      <c r="AO23" s="243">
        <f t="shared" si="12"/>
        <v>6945844099.6579018</v>
      </c>
      <c r="AP23" s="243">
        <f t="shared" si="9"/>
        <v>231000000</v>
      </c>
      <c r="AQ23" s="243">
        <f t="shared" si="9"/>
        <v>0</v>
      </c>
      <c r="AR23" s="312">
        <f t="shared" si="13"/>
        <v>0</v>
      </c>
    </row>
    <row r="24" spans="1:44" s="16" customFormat="1">
      <c r="A24" s="207">
        <f t="shared" si="10"/>
        <v>2011</v>
      </c>
      <c r="B24" s="243">
        <f>'2.1 Qualcomm'!B21</f>
        <v>5734000000</v>
      </c>
      <c r="C24" s="243">
        <f>'2.4 Interdigital'!E17</f>
        <v>295372000</v>
      </c>
      <c r="D24" s="243">
        <f>'2.2 Ericsson'!I16</f>
        <v>1636370943.215884</v>
      </c>
      <c r="E24" s="243">
        <f>'2.3.1 Alcatel-Lucent (Nokia)'!D19</f>
        <v>176242509.69333804</v>
      </c>
      <c r="F24" s="243">
        <f>'2.3 Nokia'!D17</f>
        <v>1231105766.2402289</v>
      </c>
      <c r="G24" s="243">
        <f>'3.9 Parkervision'!B19</f>
        <v>0</v>
      </c>
      <c r="H24" s="243">
        <f>'3.11 VirnetX'!B25</f>
        <v>20000</v>
      </c>
      <c r="I24" s="244">
        <f>'3.10 Unwired Planet'!D14</f>
        <v>0</v>
      </c>
      <c r="J24" s="243">
        <f>'2.5 Microsoft'!B15</f>
        <v>225500000</v>
      </c>
      <c r="K24" s="244">
        <f>'3.8 WiLAN'!B28</f>
        <v>104813000</v>
      </c>
      <c r="L24" s="244">
        <f>'3.7 Acacia Technologies'!D35</f>
        <v>176107000</v>
      </c>
      <c r="M24" s="243">
        <f>'3.5 Tessera'!E96</f>
        <v>84417515.068493158</v>
      </c>
      <c r="N24" s="243">
        <f>'3.6 Rambus'!F95</f>
        <v>98956598.400000006</v>
      </c>
      <c r="O24"/>
      <c r="P24"/>
      <c r="Q24"/>
      <c r="R24" s="243">
        <f t="shared" ref="R24:R27" si="14">200000000*0.33</f>
        <v>66000000</v>
      </c>
      <c r="S24"/>
      <c r="T24"/>
      <c r="U24"/>
      <c r="V24"/>
      <c r="W24"/>
      <c r="X24"/>
      <c r="Y24" s="244"/>
      <c r="Z24" s="244">
        <v>0</v>
      </c>
      <c r="AA24" s="244"/>
      <c r="AB24" s="244"/>
      <c r="AC24" s="244"/>
      <c r="AD24"/>
      <c r="AE24"/>
      <c r="AF24"/>
      <c r="AG24"/>
      <c r="AH24" s="254">
        <f t="shared" si="6"/>
        <v>9828905332.6179447</v>
      </c>
      <c r="AI24" s="243">
        <f t="shared" si="7"/>
        <v>9073111219.1494522</v>
      </c>
      <c r="AJ24" s="243">
        <f t="shared" si="7"/>
        <v>225500000</v>
      </c>
      <c r="AK24" s="243">
        <f t="shared" si="7"/>
        <v>464294113.4684931</v>
      </c>
      <c r="AL24" s="243">
        <f t="shared" si="7"/>
        <v>66000000</v>
      </c>
      <c r="AM24" s="312">
        <f t="shared" si="8"/>
        <v>0</v>
      </c>
      <c r="AO24" s="243">
        <f t="shared" si="12"/>
        <v>9762905332.6179447</v>
      </c>
      <c r="AP24" s="243">
        <f t="shared" si="9"/>
        <v>66000000</v>
      </c>
      <c r="AQ24" s="243">
        <f t="shared" si="9"/>
        <v>0</v>
      </c>
      <c r="AR24" s="312">
        <f t="shared" si="13"/>
        <v>0</v>
      </c>
    </row>
    <row r="25" spans="1:44" s="16" customFormat="1">
      <c r="A25" s="207">
        <f t="shared" si="10"/>
        <v>2012</v>
      </c>
      <c r="B25" s="243">
        <f>'2.1 Qualcomm'!B22</f>
        <v>6656000000</v>
      </c>
      <c r="C25" s="243">
        <f>'2.4 Interdigital'!E18</f>
        <v>660547000</v>
      </c>
      <c r="D25" s="243">
        <f>'2.2 Ericsson'!I17</f>
        <v>1851290798.2244613</v>
      </c>
      <c r="E25" s="243">
        <f>'2.3.1 Alcatel-Lucent (Nokia)'!D20</f>
        <v>147668031.71698368</v>
      </c>
      <c r="F25" s="243">
        <f>'2.3 Nokia'!D18</f>
        <v>704060079.79347575</v>
      </c>
      <c r="G25" s="243">
        <f>'3.9 Parkervision'!B20</f>
        <v>0</v>
      </c>
      <c r="H25" s="243">
        <f>'3.11 VirnetX'!B26</f>
        <v>412000</v>
      </c>
      <c r="I25" s="244">
        <f>'3.10 Unwired Planet'!D15</f>
        <v>0</v>
      </c>
      <c r="J25" s="243">
        <f>'2.5 Microsoft'!B16</f>
        <v>512500000</v>
      </c>
      <c r="K25" s="244">
        <f>'3.8 WiLAN'!B27</f>
        <v>87960000</v>
      </c>
      <c r="L25" s="244">
        <f>'3.7 Acacia Technologies'!D36</f>
        <v>209527000</v>
      </c>
      <c r="M25" s="243">
        <f>'3.5 Tessera'!E97</f>
        <v>78902736.438356161</v>
      </c>
      <c r="N25" s="243">
        <f>'3.6 Rambus'!F96</f>
        <v>76473238.612499982</v>
      </c>
      <c r="O25"/>
      <c r="P25"/>
      <c r="Q25"/>
      <c r="R25" s="243">
        <f t="shared" si="14"/>
        <v>66000000</v>
      </c>
      <c r="S25" s="244">
        <f>'3.4 Broadcom'!F46*1000000</f>
        <v>31262000</v>
      </c>
      <c r="T25"/>
      <c r="U25"/>
      <c r="V25"/>
      <c r="W25"/>
      <c r="X25"/>
      <c r="Y25" s="244">
        <f>'3.3 ATT MPEG4'!E64</f>
        <v>17250000</v>
      </c>
      <c r="Z25" s="244">
        <v>0</v>
      </c>
      <c r="AA25" s="244"/>
      <c r="AB25" s="244"/>
      <c r="AC25" s="244"/>
      <c r="AD25"/>
      <c r="AE25"/>
      <c r="AF25"/>
      <c r="AG25"/>
      <c r="AH25" s="254">
        <f t="shared" si="6"/>
        <v>11099852884.785776</v>
      </c>
      <c r="AI25" s="243">
        <f t="shared" si="7"/>
        <v>10019977909.734921</v>
      </c>
      <c r="AJ25" s="243">
        <f t="shared" si="7"/>
        <v>512500000</v>
      </c>
      <c r="AK25" s="243">
        <f t="shared" si="7"/>
        <v>452862975.05085611</v>
      </c>
      <c r="AL25" s="243">
        <f t="shared" si="7"/>
        <v>114512000</v>
      </c>
      <c r="AM25" s="312">
        <f t="shared" si="8"/>
        <v>0</v>
      </c>
      <c r="AO25" s="243">
        <f t="shared" si="12"/>
        <v>11033852884.785776</v>
      </c>
      <c r="AP25" s="243">
        <f t="shared" si="9"/>
        <v>66000000</v>
      </c>
      <c r="AQ25" s="243">
        <f t="shared" si="9"/>
        <v>0</v>
      </c>
      <c r="AR25" s="312">
        <f t="shared" si="13"/>
        <v>0</v>
      </c>
    </row>
    <row r="26" spans="1:44" s="92" customFormat="1">
      <c r="A26" s="272">
        <f t="shared" si="10"/>
        <v>2013</v>
      </c>
      <c r="B26" s="343">
        <f>'2.1 Qualcomm'!B23</f>
        <v>7878000000</v>
      </c>
      <c r="C26" s="343">
        <f>'2.4 Interdigital'!E19</f>
        <v>264174000</v>
      </c>
      <c r="D26" s="343">
        <f>'2.2 Ericsson'!I18</f>
        <v>1641338331.5963852</v>
      </c>
      <c r="E26" s="343">
        <f>'2.3.1 Alcatel-Lucent (Nokia)'!D21</f>
        <v>106076239.88659486</v>
      </c>
      <c r="F26" s="343">
        <f>'2.3 Nokia'!D19</f>
        <v>728757544.15595686</v>
      </c>
      <c r="G26" s="343">
        <f>'3.9 Parkervision'!B21</f>
        <v>0</v>
      </c>
      <c r="H26" s="343">
        <f>'3.11 VirnetX'!B27</f>
        <v>2197000</v>
      </c>
      <c r="I26" s="344">
        <f>'3.10 Unwired Planet'!D16</f>
        <v>0</v>
      </c>
      <c r="J26" s="343">
        <f>'2.5 Microsoft'!B17</f>
        <v>1712500000</v>
      </c>
      <c r="K26" s="344">
        <f>'3.8 WiLAN'!B26</f>
        <v>88209000</v>
      </c>
      <c r="L26" s="344">
        <f>'3.7 Acacia Technologies'!D37</f>
        <v>120656000</v>
      </c>
      <c r="M26" s="343">
        <f>'3.5 Tessera'!E98</f>
        <v>59344454.432876714</v>
      </c>
      <c r="N26" s="343">
        <f>'3.6 Rambus'!F97</f>
        <v>90090662.750028834</v>
      </c>
      <c r="O26" s="344">
        <f>'3.12 Marathon Patent Group'!B66</f>
        <v>0</v>
      </c>
      <c r="P26" s="343">
        <f t="shared" ref="P26:P27" si="15">C26</f>
        <v>264174000</v>
      </c>
      <c r="Q26" s="212"/>
      <c r="R26" s="343">
        <f t="shared" si="14"/>
        <v>66000000</v>
      </c>
      <c r="S26" s="344">
        <f>'3.4 Broadcom'!F47*1000000</f>
        <v>18938000.000000004</v>
      </c>
      <c r="T26" s="212"/>
      <c r="U26" s="212"/>
      <c r="V26" s="212"/>
      <c r="W26" s="212"/>
      <c r="X26" s="212"/>
      <c r="Y26" s="344">
        <f>'3.3 ATT MPEG4'!E65</f>
        <v>17250000</v>
      </c>
      <c r="Z26" s="344">
        <v>0</v>
      </c>
      <c r="AA26" s="344"/>
      <c r="AB26" s="344"/>
      <c r="AC26" s="344"/>
      <c r="AD26" s="212"/>
      <c r="AE26" s="212"/>
      <c r="AF26" s="212"/>
      <c r="AG26" s="212"/>
      <c r="AH26" s="345">
        <f t="shared" si="6"/>
        <v>13057705232.821842</v>
      </c>
      <c r="AI26" s="343">
        <f t="shared" si="7"/>
        <v>10620543115.638937</v>
      </c>
      <c r="AJ26" s="343">
        <f t="shared" si="7"/>
        <v>1712500000</v>
      </c>
      <c r="AK26" s="343">
        <f t="shared" si="7"/>
        <v>622474117.18290555</v>
      </c>
      <c r="AL26" s="343">
        <f t="shared" si="7"/>
        <v>102188000</v>
      </c>
      <c r="AM26" s="346">
        <f t="shared" si="8"/>
        <v>0</v>
      </c>
      <c r="AO26" s="343">
        <f t="shared" si="12"/>
        <v>12727531232.821842</v>
      </c>
      <c r="AP26" s="343">
        <f t="shared" si="9"/>
        <v>330174000</v>
      </c>
      <c r="AQ26" s="343">
        <f t="shared" si="9"/>
        <v>0</v>
      </c>
      <c r="AR26" s="312">
        <f t="shared" si="13"/>
        <v>0</v>
      </c>
    </row>
    <row r="27" spans="1:44" s="16" customFormat="1">
      <c r="A27" s="207">
        <f t="shared" si="10"/>
        <v>2014</v>
      </c>
      <c r="B27" s="243">
        <f>'2.1 Qualcomm'!B24</f>
        <v>7862000000</v>
      </c>
      <c r="C27" s="243">
        <f>'2.4 Interdigital'!E20</f>
        <v>405388000</v>
      </c>
      <c r="D27" s="243">
        <f>'2.2 Ericsson'!I19</f>
        <v>1270628331.2833128</v>
      </c>
      <c r="E27" s="243">
        <f>'2.3.1 Alcatel-Lucent (Nokia)'!D22</f>
        <v>66606276.975542173</v>
      </c>
      <c r="F27" s="243">
        <f>'2.3 Nokia'!D20</f>
        <v>699971419.85206139</v>
      </c>
      <c r="G27" s="243">
        <f>'3.9 Parkervision'!B22</f>
        <v>0</v>
      </c>
      <c r="H27" s="243">
        <f>'3.11 VirnetX'!B28</f>
        <v>1249000</v>
      </c>
      <c r="I27" s="244">
        <f>'3.10 Unwired Planet'!D17</f>
        <v>0</v>
      </c>
      <c r="J27" s="243">
        <f>'2.5 Microsoft'!B18</f>
        <v>2534500000</v>
      </c>
      <c r="K27" s="244">
        <f>'3.8 WiLAN'!B25</f>
        <v>98311000</v>
      </c>
      <c r="L27" s="244">
        <f>'3.7 Acacia Technologies'!D38</f>
        <v>130876000</v>
      </c>
      <c r="M27" s="243">
        <f>'3.5 Tessera'!E99</f>
        <v>101622405.11780822</v>
      </c>
      <c r="N27" s="243">
        <f>'3.6 Rambus'!F98</f>
        <v>78610834.755439058</v>
      </c>
      <c r="O27" s="244">
        <f>'3.12 Marathon Patent Group'!B67</f>
        <v>0</v>
      </c>
      <c r="P27" s="243">
        <f t="shared" si="15"/>
        <v>405388000</v>
      </c>
      <c r="Q27"/>
      <c r="R27" s="243">
        <f t="shared" si="14"/>
        <v>66000000</v>
      </c>
      <c r="S27" s="244">
        <f>'3.4 Broadcom'!F48*1000000</f>
        <v>92000000</v>
      </c>
      <c r="T27"/>
      <c r="U27"/>
      <c r="V27"/>
      <c r="W27"/>
      <c r="X27"/>
      <c r="Y27" s="244">
        <f>'3.3 ATT MPEG4'!E66</f>
        <v>17250000</v>
      </c>
      <c r="Z27" s="244">
        <v>0</v>
      </c>
      <c r="AA27" s="244"/>
      <c r="AB27" s="244"/>
      <c r="AC27" s="244"/>
      <c r="AD27"/>
      <c r="AE27"/>
      <c r="AF27"/>
      <c r="AG27"/>
      <c r="AH27" s="254">
        <f t="shared" si="6"/>
        <v>13830401267.984165</v>
      </c>
      <c r="AI27" s="243">
        <f t="shared" si="7"/>
        <v>10305843028.110918</v>
      </c>
      <c r="AJ27" s="243">
        <f t="shared" si="7"/>
        <v>2534500000</v>
      </c>
      <c r="AK27" s="243">
        <f t="shared" si="7"/>
        <v>814808239.87324727</v>
      </c>
      <c r="AL27" s="243">
        <f t="shared" si="7"/>
        <v>175250000</v>
      </c>
      <c r="AM27" s="312">
        <f t="shared" si="8"/>
        <v>0</v>
      </c>
      <c r="AO27" s="243">
        <f t="shared" si="12"/>
        <v>13359013267.984165</v>
      </c>
      <c r="AP27" s="243">
        <f t="shared" si="9"/>
        <v>471388000</v>
      </c>
      <c r="AQ27" s="243">
        <f t="shared" si="9"/>
        <v>0</v>
      </c>
      <c r="AR27" s="312">
        <f t="shared" si="13"/>
        <v>0</v>
      </c>
    </row>
    <row r="28" spans="1:44" s="16" customFormat="1">
      <c r="A28" s="207">
        <f t="shared" si="10"/>
        <v>2015</v>
      </c>
      <c r="B28" s="243">
        <f>'2.1 Qualcomm'!B25</f>
        <v>8202000000</v>
      </c>
      <c r="C28" s="243">
        <f>'2.4 Interdigital'!E21</f>
        <v>432488000</v>
      </c>
      <c r="D28" s="243">
        <f>'2.2 Ericsson'!I20</f>
        <v>1703870280.5065689</v>
      </c>
      <c r="E28" s="243">
        <f>'2.3.1 Alcatel-Lucent (Nokia)'!D23</f>
        <v>60807435.880730562</v>
      </c>
      <c r="F28" s="243">
        <f>'2.3 Nokia'!D21</f>
        <v>1111907398.9619303</v>
      </c>
      <c r="G28" s="243">
        <f>'3.9 Parkervision'!B23</f>
        <v>0</v>
      </c>
      <c r="H28" s="243">
        <f>'3.11 VirnetX'!B29</f>
        <v>1550000</v>
      </c>
      <c r="I28" s="244">
        <f>'3.10 Unwired Planet'!D18</f>
        <v>0</v>
      </c>
      <c r="J28" s="243">
        <f>'2.5 Microsoft'!B19</f>
        <v>1134500000</v>
      </c>
      <c r="K28" s="244">
        <f>'3.8 WiLAN'!B24</f>
        <v>102855000</v>
      </c>
      <c r="L28" s="244">
        <f>'3.7 Acacia Technologies'!D39</f>
        <v>125037000</v>
      </c>
      <c r="M28" s="243">
        <f>'3.5 Tessera'!E100</f>
        <v>102805726.02739726</v>
      </c>
      <c r="N28" s="243">
        <f>'3.6 Rambus'!F99</f>
        <v>96027332.528920501</v>
      </c>
      <c r="O28" s="244">
        <f>'3.12 Marathon Patent Group'!B68</f>
        <v>0</v>
      </c>
      <c r="P28" s="243">
        <f>C28</f>
        <v>432488000</v>
      </c>
      <c r="Q28" s="250">
        <f>'3.1 Philips'!F18</f>
        <v>177633722.06658414</v>
      </c>
      <c r="R28" s="243">
        <f>200000000*0.33</f>
        <v>66000000</v>
      </c>
      <c r="S28" s="244">
        <f>'3.4 Broadcom'!F49*1000000</f>
        <v>107502491.10320285</v>
      </c>
      <c r="T28" s="244">
        <v>0</v>
      </c>
      <c r="U28" s="244">
        <f>'4.3 MPEGLA MPEG4'!D1066</f>
        <v>120000000</v>
      </c>
      <c r="V28" s="244">
        <f>'4.4 MPEGLA AVC H.264'!F1764</f>
        <v>67981009.399999961</v>
      </c>
      <c r="W28" s="244">
        <f>'4.1 Via Licensing AAC'!AA1118</f>
        <v>122237502.69999991</v>
      </c>
      <c r="X28" s="243">
        <f>'4.7 SIPROLab WCDMA'!P121</f>
        <v>86982900</v>
      </c>
      <c r="Y28" s="244">
        <f>'3.3 ATT MPEG4'!E67</f>
        <v>17250000</v>
      </c>
      <c r="Z28" s="244">
        <v>0</v>
      </c>
      <c r="AA28" s="244">
        <v>0</v>
      </c>
      <c r="AB28" s="243">
        <v>0</v>
      </c>
      <c r="AC28" s="243">
        <v>0</v>
      </c>
      <c r="AD28" s="243">
        <v>0</v>
      </c>
      <c r="AE28" s="244">
        <v>0</v>
      </c>
      <c r="AF28" s="244">
        <v>2400000</v>
      </c>
      <c r="AG28" s="244">
        <v>0</v>
      </c>
      <c r="AH28" s="254">
        <f t="shared" si="6"/>
        <v>14274323799.175333</v>
      </c>
      <c r="AI28" s="243">
        <f t="shared" si="7"/>
        <v>11512623115.349228</v>
      </c>
      <c r="AJ28" s="243">
        <f t="shared" si="7"/>
        <v>1444718512.0999997</v>
      </c>
      <c r="AK28" s="243">
        <f t="shared" si="7"/>
        <v>1036846780.6229019</v>
      </c>
      <c r="AL28" s="243">
        <f t="shared" si="7"/>
        <v>280135391.10320282</v>
      </c>
      <c r="AM28" s="312">
        <f t="shared" si="8"/>
        <v>0</v>
      </c>
      <c r="AO28" s="243">
        <f t="shared" si="12"/>
        <v>13376234387.075333</v>
      </c>
      <c r="AP28" s="243">
        <f t="shared" si="9"/>
        <v>500888000</v>
      </c>
      <c r="AQ28" s="243">
        <f t="shared" si="9"/>
        <v>397201412.0999999</v>
      </c>
      <c r="AR28" s="312">
        <f t="shared" si="13"/>
        <v>0</v>
      </c>
    </row>
    <row r="29" spans="1:44" s="16" customFormat="1">
      <c r="B29" s="342"/>
      <c r="C29" s="342"/>
    </row>
    <row r="30" spans="1:44">
      <c r="A30" s="386" t="s">
        <v>2889</v>
      </c>
      <c r="B30" s="386"/>
      <c r="C30" s="386"/>
      <c r="D30" s="386"/>
      <c r="E30" s="112"/>
      <c r="F30" s="335"/>
      <c r="G30" s="255"/>
      <c r="J30" s="112"/>
      <c r="R30" s="252"/>
      <c r="AH30" s="252"/>
    </row>
    <row r="32" spans="1:44" s="348" customFormat="1">
      <c r="A32" s="348" t="s">
        <v>3525</v>
      </c>
    </row>
    <row r="33" spans="1:37" s="348" customFormat="1"/>
    <row r="34" spans="1:37">
      <c r="B34" s="160" t="s">
        <v>3385</v>
      </c>
      <c r="C34" s="160" t="s">
        <v>3386</v>
      </c>
      <c r="D34" s="160" t="s">
        <v>3387</v>
      </c>
      <c r="E34" s="174" t="s">
        <v>94</v>
      </c>
    </row>
    <row r="35" spans="1:37">
      <c r="A35" t="s">
        <v>3004</v>
      </c>
      <c r="B35" s="190">
        <f>SUM(B28:I28)</f>
        <v>11512623115.349228</v>
      </c>
      <c r="C35" s="189">
        <v>0</v>
      </c>
      <c r="D35" s="189">
        <v>0</v>
      </c>
      <c r="E35" s="352">
        <f>SUM(B35:D35)</f>
        <v>11512623115.349228</v>
      </c>
      <c r="F35" s="260">
        <f>E35-AI28</f>
        <v>0</v>
      </c>
    </row>
    <row r="36" spans="1:37">
      <c r="A36" t="s">
        <v>3025</v>
      </c>
      <c r="B36" s="190">
        <f>J28</f>
        <v>1134500000</v>
      </c>
      <c r="C36" s="189">
        <v>0</v>
      </c>
      <c r="D36" s="189">
        <f>SUM(U28:W28)</f>
        <v>310218512.0999999</v>
      </c>
      <c r="E36" s="352">
        <f t="shared" ref="E36:E39" si="16">SUM(B36:D36)</f>
        <v>1444718512.0999999</v>
      </c>
      <c r="F36" s="260">
        <f>E36-AJ28</f>
        <v>0</v>
      </c>
    </row>
    <row r="37" spans="1:37">
      <c r="A37" t="s">
        <v>3136</v>
      </c>
      <c r="B37" s="190">
        <f>SUM(K28:O28,Q28)</f>
        <v>604358780.62290192</v>
      </c>
      <c r="C37" s="189">
        <f>SUM(P28)</f>
        <v>432488000</v>
      </c>
      <c r="D37" s="189">
        <f>SUM(AA28)</f>
        <v>0</v>
      </c>
      <c r="E37" s="352">
        <f t="shared" si="16"/>
        <v>1036846780.6229019</v>
      </c>
      <c r="F37" s="260">
        <f>E37-AK28</f>
        <v>0</v>
      </c>
    </row>
    <row r="38" spans="1:37">
      <c r="A38" t="s">
        <v>3135</v>
      </c>
      <c r="B38" s="190">
        <f>SUM(Y28:Z28,S28)</f>
        <v>124752491.10320285</v>
      </c>
      <c r="C38" s="189">
        <f>SUM(R28,T28,AE28:AG28)</f>
        <v>68400000</v>
      </c>
      <c r="D38" s="189">
        <f>SUM(AB28:AD28,X28)</f>
        <v>86982900</v>
      </c>
      <c r="E38" s="352">
        <f t="shared" si="16"/>
        <v>280135391.10320282</v>
      </c>
      <c r="F38" s="260">
        <f>E38-AL28</f>
        <v>0</v>
      </c>
    </row>
    <row r="39" spans="1:37">
      <c r="A39" s="109" t="s">
        <v>94</v>
      </c>
      <c r="B39" s="214">
        <f>SUM(B35:B38)</f>
        <v>13376234387.075333</v>
      </c>
      <c r="C39" s="351">
        <f>SUM(C35:C38)</f>
        <v>500888000</v>
      </c>
      <c r="D39" s="351">
        <f>SUM(D35:D38)</f>
        <v>397201412.0999999</v>
      </c>
      <c r="E39" s="353">
        <f t="shared" si="16"/>
        <v>14274323799.175333</v>
      </c>
    </row>
    <row r="40" spans="1:37">
      <c r="B40" s="252">
        <f>B39-AO28</f>
        <v>0</v>
      </c>
      <c r="C40" s="260">
        <f>C39-AP28</f>
        <v>0</v>
      </c>
      <c r="D40" s="260">
        <f>D39-AQ28</f>
        <v>0</v>
      </c>
      <c r="E40" s="260">
        <f>E39-AH28</f>
        <v>0</v>
      </c>
    </row>
    <row r="42" spans="1:37">
      <c r="A42" s="348" t="s">
        <v>3004</v>
      </c>
      <c r="B42" s="205">
        <f>B35/$E$39</f>
        <v>0.80652668927226834</v>
      </c>
      <c r="C42" s="205">
        <f t="shared" ref="C42:E42" si="17">C35/$E$39</f>
        <v>0</v>
      </c>
      <c r="D42" s="205">
        <f t="shared" si="17"/>
        <v>0</v>
      </c>
      <c r="E42" s="355">
        <f t="shared" si="17"/>
        <v>0.80652668927226834</v>
      </c>
    </row>
    <row r="43" spans="1:37">
      <c r="A43" s="348" t="s">
        <v>3025</v>
      </c>
      <c r="B43" s="205">
        <f t="shared" ref="B43:E43" si="18">B36/$E$39</f>
        <v>7.9478370811900956E-2</v>
      </c>
      <c r="C43" s="205">
        <f t="shared" si="18"/>
        <v>0</v>
      </c>
      <c r="D43" s="205">
        <f t="shared" si="18"/>
        <v>2.1732624008285569E-2</v>
      </c>
      <c r="E43" s="355">
        <f t="shared" si="18"/>
        <v>0.10121099482018653</v>
      </c>
    </row>
    <row r="44" spans="1:37">
      <c r="A44" s="348" t="s">
        <v>3136</v>
      </c>
      <c r="B44" s="205">
        <f t="shared" ref="B44:E44" si="19">B37/$E$39</f>
        <v>4.2338872868907272E-2</v>
      </c>
      <c r="C44" s="205">
        <f t="shared" si="19"/>
        <v>3.029831788073814E-2</v>
      </c>
      <c r="D44" s="205">
        <f t="shared" si="19"/>
        <v>0</v>
      </c>
      <c r="E44" s="355">
        <f t="shared" si="19"/>
        <v>7.2637190749645419E-2</v>
      </c>
    </row>
    <row r="45" spans="1:37">
      <c r="A45" s="348" t="s">
        <v>3135</v>
      </c>
      <c r="B45" s="205">
        <f t="shared" ref="B45:E45" si="20">B38/$E$39</f>
        <v>8.7396427920746859E-3</v>
      </c>
      <c r="C45" s="205">
        <f t="shared" si="20"/>
        <v>4.7918206818281404E-3</v>
      </c>
      <c r="D45" s="205">
        <f t="shared" si="20"/>
        <v>6.0936616839969149E-3</v>
      </c>
      <c r="E45" s="355">
        <f t="shared" si="20"/>
        <v>1.9625125157899739E-2</v>
      </c>
    </row>
    <row r="46" spans="1:37">
      <c r="A46" s="109" t="s">
        <v>94</v>
      </c>
      <c r="B46" s="354">
        <f t="shared" ref="B46:E46" si="21">B39/$E$39</f>
        <v>0.93708357574515122</v>
      </c>
      <c r="C46" s="354">
        <f t="shared" si="21"/>
        <v>3.5090138562566285E-2</v>
      </c>
      <c r="D46" s="354">
        <f t="shared" si="21"/>
        <v>2.7826285692282484E-2</v>
      </c>
      <c r="E46" s="356">
        <f t="shared" si="21"/>
        <v>1</v>
      </c>
    </row>
    <row r="47" spans="1:37">
      <c r="AJ47" s="349"/>
      <c r="AK47" s="349"/>
    </row>
    <row r="48" spans="1:37">
      <c r="AJ48" s="349"/>
      <c r="AK48" s="349"/>
    </row>
  </sheetData>
  <mergeCells count="2">
    <mergeCell ref="AI11:AL11"/>
    <mergeCell ref="A30:D30"/>
  </mergeCells>
  <phoneticPr fontId="15" type="noConversion"/>
  <pageMargins left="0.7" right="0.7" top="0.75" bottom="0.75" header="0.3" footer="0.3"/>
  <pageSetup orientation="landscape" horizontalDpi="4294967292" verticalDpi="4294967292"/>
  <headerFooter>
    <oddHeader>&amp;LA New Dataset on Mobile Phone _x000D_Patent License Royalties&amp;C&amp;"-,Bold"&amp;A&amp;RSeptember 2016 Update</oddHeader>
    <oddFooter>&amp;LAlexander Galetovic, Stephen Haber, 
and Lew Zaretzki&amp;C&amp;P of &amp;N</oddFooter>
  </headerFooter>
  <extLst>
    <ext xmlns:mx="http://schemas.microsoft.com/office/mac/excel/2008/main" uri="{64002731-A6B0-56B0-2670-7721B7C09600}">
      <mx:PLV Mode="1" OnePage="0" WScale="10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F31"/>
  <sheetViews>
    <sheetView view="pageLayout" workbookViewId="0">
      <selection activeCell="K6" sqref="K6"/>
    </sheetView>
  </sheetViews>
  <sheetFormatPr baseColWidth="10" defaultColWidth="10.83203125" defaultRowHeight="14" x14ac:dyDescent="0"/>
  <cols>
    <col min="1" max="1" width="8.33203125" style="115" customWidth="1"/>
    <col min="2" max="3" width="11.5" style="115" customWidth="1"/>
    <col min="4" max="4" width="12.5" style="115" customWidth="1"/>
    <col min="5" max="5" width="10.1640625" style="115" customWidth="1"/>
    <col min="6" max="6" width="2.33203125" style="115" customWidth="1"/>
    <col min="7" max="7" width="11" style="115" customWidth="1"/>
    <col min="8" max="8" width="11.33203125" style="115" customWidth="1"/>
    <col min="9" max="9" width="11.6640625" style="115" customWidth="1"/>
    <col min="10" max="10" width="10.1640625" style="115" customWidth="1"/>
    <col min="11" max="11" width="11.6640625" style="115" customWidth="1"/>
    <col min="12" max="14" width="16.1640625" style="115" customWidth="1"/>
    <col min="15" max="15" width="11.1640625" style="115" customWidth="1"/>
    <col min="16" max="16" width="10" style="115" customWidth="1"/>
    <col min="17" max="17" width="1.83203125" style="115" customWidth="1"/>
    <col min="18" max="18" width="10.33203125" style="115" customWidth="1"/>
    <col min="19" max="19" width="8.6640625" style="115" customWidth="1"/>
    <col min="20" max="20" width="13.5" style="115" bestFit="1" customWidth="1"/>
    <col min="21" max="21" width="12.1640625" style="115" customWidth="1"/>
    <col min="22" max="22" width="8.33203125" style="115" customWidth="1"/>
    <col min="23" max="24" width="11.83203125" style="115" customWidth="1"/>
    <col min="25" max="25" width="7.5" style="115" customWidth="1"/>
    <col min="26" max="26" width="11.6640625" style="115" customWidth="1"/>
    <col min="27" max="27" width="2.33203125" style="115" customWidth="1"/>
    <col min="28" max="28" width="11.83203125" style="115" customWidth="1"/>
    <col min="29" max="29" width="7.5" style="115" customWidth="1"/>
    <col min="30" max="30" width="11.6640625" style="115" customWidth="1"/>
    <col min="31" max="31" width="10.83203125" style="115"/>
    <col min="32" max="32" width="13.33203125" style="115" customWidth="1"/>
    <col min="33" max="33" width="15" style="115" customWidth="1"/>
    <col min="34" max="34" width="18.5" style="115" customWidth="1"/>
    <col min="35" max="35" width="16.33203125" style="115" customWidth="1"/>
    <col min="36" max="36" width="21.5" style="115" customWidth="1"/>
    <col min="37" max="37" width="23.33203125" style="115" customWidth="1"/>
    <col min="38" max="38" width="28.1640625" style="115" customWidth="1"/>
    <col min="39" max="39" width="19.1640625" style="115" customWidth="1"/>
    <col min="40" max="40" width="17.5" style="115" customWidth="1"/>
    <col min="41" max="41" width="8.33203125" style="115" customWidth="1"/>
    <col min="42" max="42" width="28.5" style="115" customWidth="1"/>
    <col min="43" max="43" width="23.1640625" style="115" customWidth="1"/>
    <col min="44" max="44" width="28.5" style="115" customWidth="1"/>
    <col min="45" max="45" width="24.6640625" style="115" customWidth="1"/>
    <col min="46" max="46" width="26.5" style="115" customWidth="1"/>
    <col min="47" max="47" width="6.5" style="115" customWidth="1"/>
    <col min="48" max="48" width="28.5" style="115" customWidth="1"/>
    <col min="49" max="16384" width="10.83203125" style="115"/>
  </cols>
  <sheetData>
    <row r="2" spans="1:32">
      <c r="A2" s="309" t="s">
        <v>3392</v>
      </c>
    </row>
    <row r="3" spans="1:32" ht="18">
      <c r="A3" s="147" t="str">
        <f>CONCATENATE(VLOOKUP($A$2,'Table of Contents'!$B:$E,4,FALSE)," ",$A$2)</f>
        <v>1.8 Device Sales</v>
      </c>
    </row>
    <row r="6" spans="1:32">
      <c r="A6" s="115" t="s">
        <v>85</v>
      </c>
    </row>
    <row r="7" spans="1:32" ht="15" thickBot="1"/>
    <row r="8" spans="1:32" ht="15" thickBot="1">
      <c r="B8" s="387" t="s">
        <v>3240</v>
      </c>
      <c r="C8" s="388"/>
      <c r="D8" s="388"/>
      <c r="E8" s="389"/>
      <c r="G8" s="387" t="s">
        <v>3249</v>
      </c>
      <c r="H8" s="388"/>
      <c r="I8" s="388"/>
      <c r="J8" s="388"/>
      <c r="K8" s="388"/>
      <c r="L8" s="388"/>
      <c r="M8" s="388"/>
      <c r="N8" s="388"/>
      <c r="O8" s="388"/>
      <c r="P8" s="389"/>
      <c r="Q8" s="116"/>
      <c r="R8" s="387" t="s">
        <v>3248</v>
      </c>
      <c r="S8" s="390"/>
      <c r="T8" s="390"/>
      <c r="U8" s="390"/>
      <c r="V8" s="390"/>
      <c r="W8" s="390"/>
      <c r="X8" s="390"/>
      <c r="Y8" s="390"/>
      <c r="Z8" s="391"/>
      <c r="AB8" s="387" t="s">
        <v>3247</v>
      </c>
      <c r="AC8" s="388"/>
      <c r="AD8" s="389"/>
      <c r="AF8" s="115" t="s">
        <v>11</v>
      </c>
    </row>
    <row r="9" spans="1:32" ht="42">
      <c r="A9" s="224" t="s">
        <v>3241</v>
      </c>
      <c r="B9" s="224" t="s">
        <v>188</v>
      </c>
      <c r="C9" s="224" t="s">
        <v>3242</v>
      </c>
      <c r="D9" s="234" t="s">
        <v>189</v>
      </c>
      <c r="E9" s="224" t="s">
        <v>3250</v>
      </c>
      <c r="F9" s="223"/>
      <c r="G9" s="224" t="s">
        <v>188</v>
      </c>
      <c r="H9" s="224" t="s">
        <v>3242</v>
      </c>
      <c r="I9" s="234" t="s">
        <v>189</v>
      </c>
      <c r="J9" s="224" t="s">
        <v>3250</v>
      </c>
      <c r="K9" s="224" t="s">
        <v>3256</v>
      </c>
      <c r="L9" s="224" t="s">
        <v>3251</v>
      </c>
      <c r="M9" s="224" t="s">
        <v>191</v>
      </c>
      <c r="N9" s="234" t="s">
        <v>192</v>
      </c>
      <c r="O9" s="224" t="s">
        <v>190</v>
      </c>
      <c r="P9" s="224" t="s">
        <v>193</v>
      </c>
      <c r="Q9" s="223"/>
      <c r="R9" s="224" t="s">
        <v>3243</v>
      </c>
      <c r="S9" s="224" t="s">
        <v>6</v>
      </c>
      <c r="T9" s="224" t="s">
        <v>3252</v>
      </c>
      <c r="U9" s="224" t="s">
        <v>194</v>
      </c>
      <c r="V9" s="224" t="s">
        <v>3246</v>
      </c>
      <c r="W9" s="224" t="s">
        <v>3244</v>
      </c>
      <c r="X9" s="224" t="s">
        <v>195</v>
      </c>
      <c r="Y9" s="224" t="s">
        <v>3245</v>
      </c>
      <c r="Z9" s="224" t="s">
        <v>196</v>
      </c>
      <c r="AA9" s="224"/>
      <c r="AB9" s="224" t="s">
        <v>197</v>
      </c>
      <c r="AC9" s="224" t="s">
        <v>6</v>
      </c>
      <c r="AD9" s="224" t="s">
        <v>198</v>
      </c>
      <c r="AE9" s="115" t="s">
        <v>11</v>
      </c>
      <c r="AF9" s="115" t="s">
        <v>11</v>
      </c>
    </row>
    <row r="10" spans="1:32">
      <c r="A10" s="222">
        <v>2007</v>
      </c>
      <c r="B10" s="113">
        <f>'1.9 OEM Sales'!R29</f>
        <v>122320000</v>
      </c>
      <c r="C10" s="113">
        <f>D10-B10</f>
        <v>1030519800</v>
      </c>
      <c r="D10" s="230">
        <f>'1.9 OEM Sales'!W5+'1.9 OEM Sales'!S29</f>
        <v>1152839800</v>
      </c>
      <c r="E10" s="225">
        <f>B10/D10</f>
        <v>0.10610320705444069</v>
      </c>
      <c r="F10" s="113"/>
      <c r="G10" s="117">
        <f>E34+'1.9 OEM Sales'!S93</f>
        <v>123926790</v>
      </c>
      <c r="H10" s="117">
        <f>'1.9 OEM Sales'!S90</f>
        <v>1018150677</v>
      </c>
      <c r="I10" s="231">
        <f>'1.9 OEM Sales'!S96</f>
        <v>1142077467</v>
      </c>
      <c r="J10" s="226">
        <f>G10/I10</f>
        <v>0.10850996852738011</v>
      </c>
      <c r="K10" s="226">
        <f>I10/D10</f>
        <v>0.99066450256141403</v>
      </c>
      <c r="L10" s="228">
        <f>'1.9 OEM Sales'!S94*1000000</f>
        <v>52394735350.249893</v>
      </c>
      <c r="M10" s="228">
        <f>'1.9 OEM Sales'!S91*1000000</f>
        <v>167083164901.5596</v>
      </c>
      <c r="N10" s="232">
        <f>'1.9 OEM Sales'!S97*1000000</f>
        <v>219477900251.80948</v>
      </c>
      <c r="O10" s="227">
        <f>'1.9 OEM Sales'!S95</f>
        <v>422.78780359153893</v>
      </c>
      <c r="P10" s="227">
        <f>'1.9 OEM Sales'!S92</f>
        <v>164.1045561093897</v>
      </c>
      <c r="Q10" s="120"/>
      <c r="R10" s="113"/>
      <c r="U10" s="117"/>
      <c r="V10" s="117"/>
      <c r="W10" s="118" t="s">
        <v>11</v>
      </c>
      <c r="X10" s="118"/>
      <c r="Y10" s="118" t="s">
        <v>11</v>
      </c>
      <c r="Z10" s="118"/>
      <c r="AF10" s="115" t="s">
        <v>11</v>
      </c>
    </row>
    <row r="11" spans="1:32">
      <c r="A11" s="222">
        <f t="shared" ref="A11:A18" si="0">A10+1</f>
        <v>2008</v>
      </c>
      <c r="B11" s="113">
        <f>'1.9 OEM Sales'!P29</f>
        <v>139287900</v>
      </c>
      <c r="C11" s="113">
        <f t="shared" ref="C11:C18" si="1">D11-B11</f>
        <v>1082965000</v>
      </c>
      <c r="D11" s="230">
        <f>'1.9 OEM Sales'!Q30</f>
        <v>1222252900</v>
      </c>
      <c r="E11" s="225">
        <f t="shared" ref="E11:E18" si="2">B11/D11</f>
        <v>0.11395996687755865</v>
      </c>
      <c r="F11" s="113"/>
      <c r="G11" s="117">
        <f>'1.9 OEM Sales'!Q93</f>
        <v>150772945</v>
      </c>
      <c r="H11" s="117">
        <f>'1.9 OEM Sales'!Q90</f>
        <v>1163951728</v>
      </c>
      <c r="I11" s="231">
        <f>'1.9 OEM Sales'!Q96</f>
        <v>1314724673</v>
      </c>
      <c r="J11" s="226">
        <f t="shared" ref="J11:J18" si="3">G11/I11</f>
        <v>0.11468024301693469</v>
      </c>
      <c r="K11" s="226">
        <f t="shared" ref="K11:K18" si="4">I11/D11</f>
        <v>1.0756568243773446</v>
      </c>
      <c r="L11" s="228">
        <f>'1.9 OEM Sales'!Q94*1000000</f>
        <v>64840634115.794426</v>
      </c>
      <c r="M11" s="228">
        <f>'1.9 OEM Sales'!Q91*1000000</f>
        <v>180669618767.06873</v>
      </c>
      <c r="N11" s="232">
        <f>'1.9 OEM Sales'!Q97*1000000</f>
        <v>245510252882.86316</v>
      </c>
      <c r="O11" s="227">
        <f>'1.9 OEM Sales'!Q95</f>
        <v>430.05483587121302</v>
      </c>
      <c r="P11" s="227">
        <f>'1.9 OEM Sales'!Q92</f>
        <v>155.22088624543778</v>
      </c>
      <c r="Q11" s="120"/>
      <c r="R11" s="113"/>
      <c r="U11" s="117"/>
      <c r="V11" s="117"/>
      <c r="W11" s="118" t="s">
        <v>11</v>
      </c>
      <c r="X11" s="118"/>
      <c r="Y11" s="118" t="s">
        <v>11</v>
      </c>
      <c r="Z11" s="118"/>
      <c r="AF11" s="115" t="s">
        <v>11</v>
      </c>
    </row>
    <row r="12" spans="1:32">
      <c r="A12" s="222">
        <f t="shared" si="0"/>
        <v>2009</v>
      </c>
      <c r="B12" s="113">
        <f>'1.9 OEM Sales'!N29</f>
        <v>172376100</v>
      </c>
      <c r="C12" s="113">
        <f t="shared" si="1"/>
        <v>1038863500</v>
      </c>
      <c r="D12" s="230">
        <f>'1.9 OEM Sales'!O30</f>
        <v>1211239600</v>
      </c>
      <c r="E12" s="225">
        <f t="shared" si="2"/>
        <v>0.14231379159003718</v>
      </c>
      <c r="F12" s="113"/>
      <c r="G12" s="117">
        <f>'1.9 OEM Sales'!O93</f>
        <v>173353312</v>
      </c>
      <c r="H12" s="117">
        <f>'1.9 OEM Sales'!O90</f>
        <v>1167975351</v>
      </c>
      <c r="I12" s="231">
        <f>'1.9 OEM Sales'!O96</f>
        <v>1341328663</v>
      </c>
      <c r="J12" s="226">
        <f t="shared" si="3"/>
        <v>0.12923999671510786</v>
      </c>
      <c r="K12" s="226">
        <f t="shared" si="4"/>
        <v>1.10740159337591</v>
      </c>
      <c r="L12" s="228">
        <f>'1.9 OEM Sales'!O94*1000000</f>
        <v>73117594822.306107</v>
      </c>
      <c r="M12" s="228">
        <f>'1.9 OEM Sales'!O91*1000000</f>
        <v>144620771725.04987</v>
      </c>
      <c r="N12" s="232">
        <f>'1.9 OEM Sales'!O97*1000000</f>
        <v>217738366547.35596</v>
      </c>
      <c r="O12" s="227">
        <f>'1.9 OEM Sales'!O95</f>
        <v>421.78366238717206</v>
      </c>
      <c r="P12" s="227">
        <f>'1.9 OEM Sales'!O92</f>
        <v>123.82176695871887</v>
      </c>
      <c r="Q12" s="120"/>
      <c r="R12" s="114"/>
      <c r="U12" s="117"/>
      <c r="V12" s="117"/>
      <c r="W12" s="118" t="s">
        <v>11</v>
      </c>
      <c r="X12" s="113">
        <f>173.5*1000000</f>
        <v>173500000</v>
      </c>
      <c r="Y12" s="118" t="s">
        <v>95</v>
      </c>
      <c r="Z12" s="226">
        <f>X12/G12</f>
        <v>1.0008461793911385</v>
      </c>
      <c r="AF12" s="115" t="s">
        <v>11</v>
      </c>
    </row>
    <row r="13" spans="1:32">
      <c r="A13" s="222">
        <f t="shared" si="0"/>
        <v>2010</v>
      </c>
      <c r="B13" s="113">
        <f>'1.9 OEM Sales'!K5+'1.9 OEM Sales'!L29</f>
        <v>296646600</v>
      </c>
      <c r="C13" s="113">
        <f t="shared" si="1"/>
        <v>1300155800</v>
      </c>
      <c r="D13" s="230">
        <f>'1.9 OEM Sales'!K5+'1.9 OEM Sales'!M30</f>
        <v>1596802400</v>
      </c>
      <c r="E13" s="225">
        <f t="shared" si="2"/>
        <v>0.18577539713116664</v>
      </c>
      <c r="F13" s="113"/>
      <c r="G13" s="117">
        <f>'1.9 OEM Sales'!M93</f>
        <v>304681129.67999995</v>
      </c>
      <c r="H13" s="117">
        <f>'1.9 OEM Sales'!M90</f>
        <v>1290131821</v>
      </c>
      <c r="I13" s="231">
        <f>'1.9 OEM Sales'!M96</f>
        <v>1594812950.6799998</v>
      </c>
      <c r="J13" s="226">
        <f t="shared" si="3"/>
        <v>0.19104505613030628</v>
      </c>
      <c r="K13" s="226">
        <f t="shared" si="4"/>
        <v>0.99875410425234823</v>
      </c>
      <c r="L13" s="228">
        <f>'1.9 OEM Sales'!M94*1000000</f>
        <v>130189491715.30293</v>
      </c>
      <c r="M13" s="228">
        <f>'1.9 OEM Sales'!M91*1000000</f>
        <v>129267258104.94128</v>
      </c>
      <c r="N13" s="232">
        <f>'1.9 OEM Sales'!M97*1000000</f>
        <v>259456749820.2442</v>
      </c>
      <c r="O13" s="227">
        <f>'1.9 OEM Sales'!M95</f>
        <v>427.29752200944694</v>
      </c>
      <c r="P13" s="227">
        <f>'1.9 OEM Sales'!M92</f>
        <v>100.19693801889511</v>
      </c>
      <c r="Q13" s="120"/>
      <c r="R13" s="114"/>
      <c r="U13" s="117"/>
      <c r="V13" s="117"/>
      <c r="W13" s="118" t="s">
        <v>11</v>
      </c>
      <c r="X13" s="113">
        <f>304.7*1000000</f>
        <v>304700000</v>
      </c>
      <c r="Y13" s="118" t="s">
        <v>95</v>
      </c>
      <c r="Z13" s="226">
        <f t="shared" ref="Z13:Z18" si="5">X13/G13</f>
        <v>1.000061934652861</v>
      </c>
      <c r="AB13" s="233">
        <v>440</v>
      </c>
      <c r="AC13" s="115" t="s">
        <v>146</v>
      </c>
      <c r="AD13" s="226">
        <f>AB13/O13</f>
        <v>1.0297274787151052</v>
      </c>
      <c r="AF13" s="115" t="s">
        <v>11</v>
      </c>
    </row>
    <row r="14" spans="1:32">
      <c r="A14" s="222">
        <f t="shared" si="0"/>
        <v>2011</v>
      </c>
      <c r="B14" s="121">
        <f>'1.9 OEM Sales'!I5+'1.9 OEM Sales'!J29</f>
        <v>472000000</v>
      </c>
      <c r="C14" s="113">
        <f t="shared" si="1"/>
        <v>1303712000</v>
      </c>
      <c r="D14" s="230">
        <f>'1.9 OEM Sales'!J5+'1.9 OEM Sales'!K30</f>
        <v>1775712000</v>
      </c>
      <c r="E14" s="225">
        <f t="shared" si="2"/>
        <v>0.26580886990683172</v>
      </c>
      <c r="F14" s="113"/>
      <c r="G14" s="117">
        <f>'1.9 OEM Sales'!K93</f>
        <v>494446963.68060005</v>
      </c>
      <c r="H14" s="117">
        <f>'1.9 OEM Sales'!K90</f>
        <v>1223938248</v>
      </c>
      <c r="I14" s="231">
        <f>'1.9 OEM Sales'!K96</f>
        <v>1718385211.6806002</v>
      </c>
      <c r="J14" s="226">
        <f t="shared" si="3"/>
        <v>0.28773930334108572</v>
      </c>
      <c r="K14" s="226">
        <f t="shared" si="4"/>
        <v>0.96771616775727154</v>
      </c>
      <c r="L14" s="228">
        <f>'1.9 OEM Sales'!K94*1000000</f>
        <v>210063400648.20541</v>
      </c>
      <c r="M14" s="228">
        <f>'1.9 OEM Sales'!K91*1000000</f>
        <v>94882323117.3125</v>
      </c>
      <c r="N14" s="232">
        <f>'1.9 OEM Sales'!K97*1000000</f>
        <v>304945723765.51794</v>
      </c>
      <c r="O14" s="227">
        <f>'1.9 OEM Sales'!K95</f>
        <v>424.84516253173098</v>
      </c>
      <c r="P14" s="227">
        <f>'1.9 OEM Sales'!K92</f>
        <v>77.522148909356176</v>
      </c>
      <c r="Q14" s="120"/>
      <c r="R14" s="114"/>
      <c r="U14" s="117"/>
      <c r="V14" s="117"/>
      <c r="W14" s="118" t="s">
        <v>11</v>
      </c>
      <c r="X14" s="113">
        <v>491400000</v>
      </c>
      <c r="Y14" s="118" t="s">
        <v>95</v>
      </c>
      <c r="Z14" s="226">
        <f t="shared" si="5"/>
        <v>0.99383763294263383</v>
      </c>
      <c r="AB14" s="233">
        <v>420</v>
      </c>
      <c r="AC14" s="115" t="s">
        <v>146</v>
      </c>
      <c r="AD14" s="226">
        <f t="shared" ref="AD14:AD18" si="6">AB14/O14</f>
        <v>0.98859546263194398</v>
      </c>
      <c r="AF14" s="115" t="s">
        <v>11</v>
      </c>
    </row>
    <row r="15" spans="1:32">
      <c r="A15" s="222">
        <f t="shared" si="0"/>
        <v>2012</v>
      </c>
      <c r="B15" s="113">
        <f>'1.9 OEM Sales'!H29</f>
        <v>680108200</v>
      </c>
      <c r="C15" s="113">
        <f t="shared" si="1"/>
        <v>1066067400</v>
      </c>
      <c r="D15" s="230">
        <f>'1.9 OEM Sales'!G5+'1.9 OEM Sales'!I30</f>
        <v>1746175600</v>
      </c>
      <c r="E15" s="225">
        <f t="shared" si="2"/>
        <v>0.38948442527773264</v>
      </c>
      <c r="F15" s="113"/>
      <c r="G15" s="117">
        <f>'1.9 OEM Sales'!I93</f>
        <v>726702826.01800001</v>
      </c>
      <c r="H15" s="117">
        <f>'1.9 OEM Sales'!I90</f>
        <v>1016821803</v>
      </c>
      <c r="I15" s="231">
        <f>'1.9 OEM Sales'!I96</f>
        <v>1743524629.0180001</v>
      </c>
      <c r="J15" s="226">
        <f t="shared" si="3"/>
        <v>0.41680100981842655</v>
      </c>
      <c r="K15" s="226">
        <f t="shared" si="4"/>
        <v>0.99848184169908238</v>
      </c>
      <c r="L15" s="228">
        <f>'1.9 OEM Sales'!I94*1000000</f>
        <v>280598434465.89337</v>
      </c>
      <c r="M15" s="228">
        <f>'1.9 OEM Sales'!I91*1000000</f>
        <v>59510073976.737579</v>
      </c>
      <c r="N15" s="232">
        <f>'1.9 OEM Sales'!I97*1000000</f>
        <v>340108508442.63092</v>
      </c>
      <c r="O15" s="227">
        <f>'1.9 OEM Sales'!I95</f>
        <v>386.12542076304396</v>
      </c>
      <c r="P15" s="227">
        <f>'1.9 OEM Sales'!I92</f>
        <v>58.525568394738265</v>
      </c>
      <c r="Q15" s="120"/>
      <c r="R15" s="229">
        <v>387</v>
      </c>
      <c r="S15" s="115" t="s">
        <v>147</v>
      </c>
      <c r="T15" s="226">
        <f>R15/O15</f>
        <v>1.0022650133607565</v>
      </c>
      <c r="U15" s="117">
        <f>'1.9 OEM Sales'!H53*1000000</f>
        <v>725300000</v>
      </c>
      <c r="V15" s="122" t="s">
        <v>110</v>
      </c>
      <c r="W15" s="226">
        <f t="shared" ref="W15:W17" si="7">U15/G15</f>
        <v>0.99806960153755442</v>
      </c>
      <c r="X15" s="113">
        <f>725.3*1000000</f>
        <v>725300000</v>
      </c>
      <c r="Y15" s="118" t="s">
        <v>95</v>
      </c>
      <c r="Z15" s="226">
        <f t="shared" si="5"/>
        <v>0.99806960153755442</v>
      </c>
      <c r="AA15" s="118"/>
      <c r="AB15" s="233">
        <v>381</v>
      </c>
      <c r="AC15" s="115" t="s">
        <v>146</v>
      </c>
      <c r="AD15" s="226">
        <f t="shared" si="6"/>
        <v>0.98672602090555106</v>
      </c>
    </row>
    <row r="16" spans="1:32">
      <c r="A16" s="222">
        <f t="shared" si="0"/>
        <v>2013</v>
      </c>
      <c r="B16" s="113">
        <f>'1.9 OEM Sales'!F29</f>
        <v>967775800</v>
      </c>
      <c r="C16" s="113">
        <f t="shared" si="1"/>
        <v>839188900</v>
      </c>
      <c r="D16" s="230">
        <f>'1.9 OEM Sales'!E5+'1.9 OEM Sales'!G30</f>
        <v>1806964700</v>
      </c>
      <c r="E16" s="225">
        <f t="shared" si="2"/>
        <v>0.53558091090545379</v>
      </c>
      <c r="F16" s="113"/>
      <c r="G16" s="117">
        <f>'1.9 OEM Sales'!G93</f>
        <v>1018737967.28</v>
      </c>
      <c r="H16" s="117">
        <f>'1.9 OEM Sales'!G90</f>
        <v>827914697</v>
      </c>
      <c r="I16" s="231">
        <f>'1.9 OEM Sales'!G96</f>
        <v>1846652664.28</v>
      </c>
      <c r="J16" s="226">
        <f t="shared" si="3"/>
        <v>0.55166734220547131</v>
      </c>
      <c r="K16" s="226">
        <f t="shared" si="4"/>
        <v>1.0219638846735632</v>
      </c>
      <c r="L16" s="228">
        <f>'1.9 OEM Sales'!G94*1000000</f>
        <v>338264365875.06708</v>
      </c>
      <c r="M16" s="228">
        <f>'1.9 OEM Sales'!G91*1000000</f>
        <v>38587254071.684685</v>
      </c>
      <c r="N16" s="232">
        <f>'1.9 OEM Sales'!G97*1000000</f>
        <v>376851619946.75177</v>
      </c>
      <c r="O16" s="227">
        <f>'1.9 OEM Sales'!G95</f>
        <v>332.04256319043736</v>
      </c>
      <c r="P16" s="227">
        <f>'1.9 OEM Sales'!H90+'1.9 OEM Sales'!G92</f>
        <v>46.607765524042492</v>
      </c>
      <c r="Q16" s="120"/>
      <c r="R16" s="229">
        <v>335</v>
      </c>
      <c r="S16" s="115" t="s">
        <v>147</v>
      </c>
      <c r="T16" s="226">
        <f t="shared" ref="T16:T18" si="8">R16/O16</f>
        <v>1.0089068003244706</v>
      </c>
      <c r="U16" s="117">
        <f>'1.9 OEM Sales'!F53*1000000</f>
        <v>1004199999.9999999</v>
      </c>
      <c r="V16" s="122" t="s">
        <v>110</v>
      </c>
      <c r="W16" s="226">
        <f t="shared" si="7"/>
        <v>0.98572943411659031</v>
      </c>
      <c r="X16" s="113">
        <f>1018.7*1000000</f>
        <v>1018700000</v>
      </c>
      <c r="Y16" s="118" t="s">
        <v>95</v>
      </c>
      <c r="Z16" s="226">
        <f t="shared" si="5"/>
        <v>0.9999627310641015</v>
      </c>
      <c r="AA16" s="118"/>
      <c r="AB16" s="233">
        <v>333</v>
      </c>
      <c r="AC16" s="115" t="s">
        <v>146</v>
      </c>
      <c r="AD16" s="226">
        <f t="shared" si="6"/>
        <v>1.0028834761434289</v>
      </c>
    </row>
    <row r="17" spans="1:30">
      <c r="A17" s="222">
        <f t="shared" si="0"/>
        <v>2014</v>
      </c>
      <c r="B17" s="113">
        <f>'1.9 OEM Sales'!D29</f>
        <v>1244739800</v>
      </c>
      <c r="C17" s="113">
        <f t="shared" si="1"/>
        <v>634228200</v>
      </c>
      <c r="D17" s="230">
        <f>'1.9 OEM Sales'!C5+'1.9 OEM Sales'!E30</f>
        <v>1878968000</v>
      </c>
      <c r="E17" s="225">
        <f t="shared" si="2"/>
        <v>0.66245928616133964</v>
      </c>
      <c r="F17" s="113"/>
      <c r="G17" s="117">
        <f>'1.9 OEM Sales'!E93</f>
        <v>1301662415.1719999</v>
      </c>
      <c r="H17" s="117">
        <f>'1.9 OEM Sales'!E90</f>
        <v>660215913</v>
      </c>
      <c r="I17" s="231">
        <f>'1.9 OEM Sales'!E96</f>
        <v>1961878328.1719999</v>
      </c>
      <c r="J17" s="226">
        <f t="shared" si="3"/>
        <v>0.66347764613151983</v>
      </c>
      <c r="K17" s="226">
        <f t="shared" si="4"/>
        <v>1.0441254604506303</v>
      </c>
      <c r="L17" s="228">
        <f>'1.9 OEM Sales'!E94*1000000</f>
        <v>389523271630.87433</v>
      </c>
      <c r="M17" s="228">
        <f>'1.9 OEM Sales'!E91*1000000</f>
        <v>22569796769.018501</v>
      </c>
      <c r="N17" s="232">
        <f>'1.9 OEM Sales'!E97*1000000</f>
        <v>412093068399.89282</v>
      </c>
      <c r="O17" s="227">
        <f>'1.9 OEM Sales'!E95</f>
        <v>299.25060990518284</v>
      </c>
      <c r="P17" s="227">
        <f>'1.9 OEM Sales'!E92</f>
        <v>34.185478302790472</v>
      </c>
      <c r="Q17" s="120"/>
      <c r="R17" s="229">
        <v>308</v>
      </c>
      <c r="S17" s="115" t="s">
        <v>147</v>
      </c>
      <c r="T17" s="226">
        <f t="shared" si="8"/>
        <v>1.0292376683796547</v>
      </c>
      <c r="U17" s="117">
        <f>'1.9 OEM Sales'!D53*1000000</f>
        <v>1301700000</v>
      </c>
      <c r="V17" s="122" t="s">
        <v>145</v>
      </c>
      <c r="W17" s="226">
        <f t="shared" si="7"/>
        <v>1.0000288744820178</v>
      </c>
      <c r="X17" s="113">
        <f>1301.7*1000000</f>
        <v>1301700000</v>
      </c>
      <c r="Y17" s="118" t="s">
        <v>95</v>
      </c>
      <c r="Z17" s="226">
        <f t="shared" si="5"/>
        <v>1.0000288744820178</v>
      </c>
      <c r="AA17" s="118"/>
      <c r="AB17" s="233">
        <v>310</v>
      </c>
      <c r="AC17" s="115" t="s">
        <v>146</v>
      </c>
      <c r="AD17" s="226">
        <f t="shared" si="6"/>
        <v>1.0359210298626396</v>
      </c>
    </row>
    <row r="18" spans="1:30">
      <c r="A18" s="222">
        <f t="shared" si="0"/>
        <v>2015</v>
      </c>
      <c r="B18" s="113">
        <f>'1.9 OEM Sales'!B29</f>
        <v>1423900300</v>
      </c>
      <c r="C18" s="113">
        <f t="shared" si="1"/>
        <v>493099700</v>
      </c>
      <c r="D18" s="230">
        <f>'1.9 OEM Sales'!C30</f>
        <v>1917000000</v>
      </c>
      <c r="E18" s="225">
        <f t="shared" si="2"/>
        <v>0.74277532603025564</v>
      </c>
      <c r="F18" s="113"/>
      <c r="G18" s="117">
        <f>'1.9 OEM Sales'!C93</f>
        <v>1437395308.4335315</v>
      </c>
      <c r="H18" s="117">
        <f>'1.9 OEM Sales'!C90</f>
        <v>532819893.18419075</v>
      </c>
      <c r="I18" s="231">
        <f>'1.9 OEM Sales'!C96</f>
        <v>1970215201.6177223</v>
      </c>
      <c r="J18" s="226">
        <f t="shared" si="3"/>
        <v>0.7295625915652777</v>
      </c>
      <c r="K18" s="226">
        <f t="shared" si="4"/>
        <v>1.0277596252570278</v>
      </c>
      <c r="L18" s="228">
        <f>'1.9 OEM Sales'!C94*1000000</f>
        <v>423794976452.69171</v>
      </c>
      <c r="M18" s="228">
        <f>'1.9 OEM Sales'!C91*1000000</f>
        <v>13207814351.210379</v>
      </c>
      <c r="N18" s="232">
        <f>'1.9 OEM Sales'!C97*1000000</f>
        <v>437002790803.9021</v>
      </c>
      <c r="O18" s="227">
        <f>'1.9 OEM Sales'!C95</f>
        <v>294.83536920302186</v>
      </c>
      <c r="P18" s="227">
        <f>'1.9 OEM Sales'!C92</f>
        <v>24.788515819630938</v>
      </c>
      <c r="Q18" s="120"/>
      <c r="R18" s="229">
        <v>294</v>
      </c>
      <c r="S18" s="115" t="s">
        <v>147</v>
      </c>
      <c r="T18" s="226">
        <f t="shared" si="8"/>
        <v>0.99716665878561328</v>
      </c>
      <c r="U18" s="117">
        <f>'1.9 OEM Sales'!B53*1000000</f>
        <v>1432900000</v>
      </c>
      <c r="V18" s="122" t="s">
        <v>145</v>
      </c>
      <c r="W18" s="226">
        <f>U18/G18</f>
        <v>0.99687260115073673</v>
      </c>
      <c r="X18" s="113">
        <f>1432.9*1000000</f>
        <v>1432900000</v>
      </c>
      <c r="Y18" s="118" t="s">
        <v>95</v>
      </c>
      <c r="Z18" s="226">
        <f t="shared" si="5"/>
        <v>0.99687260115073673</v>
      </c>
      <c r="AA18" s="118"/>
      <c r="AB18" s="233">
        <v>305</v>
      </c>
      <c r="AC18" s="115" t="s">
        <v>146</v>
      </c>
      <c r="AD18" s="226">
        <f t="shared" si="6"/>
        <v>1.0344756154068437</v>
      </c>
    </row>
    <row r="19" spans="1:30">
      <c r="L19" s="123"/>
      <c r="N19" s="119"/>
    </row>
    <row r="20" spans="1:30" ht="15">
      <c r="L20" s="124" t="s">
        <v>11</v>
      </c>
      <c r="M20"/>
      <c r="N20"/>
      <c r="O20"/>
      <c r="P20"/>
      <c r="Q20"/>
      <c r="R20"/>
      <c r="S20"/>
      <c r="T20"/>
      <c r="U20"/>
      <c r="V20"/>
      <c r="W20"/>
      <c r="AB20" s="115" t="s">
        <v>11</v>
      </c>
    </row>
    <row r="21" spans="1:30" ht="15">
      <c r="L21" s="123" t="s">
        <v>11</v>
      </c>
      <c r="M21"/>
      <c r="N21"/>
      <c r="O21"/>
      <c r="P21"/>
      <c r="Q21"/>
      <c r="R21"/>
      <c r="S21"/>
      <c r="T21"/>
      <c r="U21"/>
      <c r="V21"/>
      <c r="W21"/>
      <c r="AB21" s="115" t="s">
        <v>11</v>
      </c>
      <c r="AD21" s="121" t="s">
        <v>11</v>
      </c>
    </row>
    <row r="22" spans="1:30" ht="15">
      <c r="A22" s="115" t="s">
        <v>87</v>
      </c>
      <c r="L22" s="115" t="s">
        <v>11</v>
      </c>
      <c r="M22"/>
      <c r="N22"/>
      <c r="O22"/>
      <c r="P22"/>
      <c r="Q22"/>
      <c r="R22"/>
      <c r="S22"/>
      <c r="T22"/>
      <c r="U22"/>
      <c r="V22"/>
      <c r="W22"/>
      <c r="AB22" s="115" t="s">
        <v>11</v>
      </c>
      <c r="AD22" s="121" t="s">
        <v>11</v>
      </c>
    </row>
    <row r="23" spans="1:30" ht="15">
      <c r="M23"/>
      <c r="N23"/>
      <c r="O23"/>
      <c r="P23"/>
      <c r="Q23"/>
      <c r="R23"/>
      <c r="S23"/>
      <c r="T23"/>
      <c r="U23"/>
      <c r="V23"/>
      <c r="W23"/>
      <c r="AB23" s="115" t="s">
        <v>11</v>
      </c>
      <c r="AD23" s="121" t="s">
        <v>11</v>
      </c>
    </row>
    <row r="24" spans="1:30" ht="15">
      <c r="M24"/>
      <c r="N24"/>
      <c r="O24"/>
      <c r="P24"/>
      <c r="Q24"/>
      <c r="R24"/>
      <c r="S24"/>
      <c r="T24"/>
      <c r="U24"/>
      <c r="V24"/>
      <c r="W24"/>
      <c r="AB24" s="115" t="s">
        <v>11</v>
      </c>
      <c r="AD24" s="121" t="s">
        <v>11</v>
      </c>
    </row>
    <row r="25" spans="1:30" ht="15">
      <c r="M25"/>
      <c r="N25"/>
      <c r="O25"/>
      <c r="P25"/>
      <c r="Q25"/>
      <c r="R25"/>
      <c r="S25"/>
      <c r="T25"/>
      <c r="U25"/>
      <c r="V25"/>
      <c r="W25"/>
      <c r="AD25" s="121" t="s">
        <v>11</v>
      </c>
    </row>
    <row r="26" spans="1:30" ht="15">
      <c r="M26"/>
      <c r="N26"/>
      <c r="O26"/>
      <c r="P26"/>
      <c r="Q26"/>
      <c r="R26"/>
      <c r="S26"/>
      <c r="T26"/>
      <c r="U26"/>
      <c r="V26"/>
      <c r="W26"/>
    </row>
    <row r="27" spans="1:30" ht="15">
      <c r="M27"/>
      <c r="N27"/>
      <c r="O27"/>
      <c r="P27"/>
      <c r="Q27"/>
      <c r="R27"/>
      <c r="S27"/>
      <c r="T27"/>
      <c r="U27"/>
      <c r="V27"/>
      <c r="W27"/>
    </row>
    <row r="28" spans="1:30" ht="15">
      <c r="M28"/>
      <c r="N28"/>
      <c r="O28"/>
      <c r="P28"/>
      <c r="Q28"/>
      <c r="R28"/>
      <c r="S28"/>
      <c r="T28"/>
      <c r="U28"/>
      <c r="V28"/>
      <c r="W28"/>
    </row>
    <row r="29" spans="1:30" ht="15">
      <c r="M29"/>
      <c r="N29"/>
      <c r="O29"/>
      <c r="P29"/>
      <c r="Q29"/>
      <c r="R29"/>
      <c r="S29"/>
      <c r="T29"/>
      <c r="U29"/>
      <c r="V29"/>
      <c r="W29"/>
    </row>
    <row r="30" spans="1:30" ht="15">
      <c r="M30"/>
      <c r="N30"/>
      <c r="O30"/>
      <c r="P30"/>
      <c r="Q30"/>
      <c r="R30"/>
      <c r="S30"/>
      <c r="T30"/>
      <c r="U30"/>
      <c r="V30"/>
      <c r="W30"/>
    </row>
    <row r="31" spans="1:30">
      <c r="N31" s="123" t="s">
        <v>11</v>
      </c>
    </row>
  </sheetData>
  <mergeCells count="4">
    <mergeCell ref="B8:E8"/>
    <mergeCell ref="G8:P8"/>
    <mergeCell ref="R8:Z8"/>
    <mergeCell ref="AB8:AD8"/>
  </mergeCells>
  <phoneticPr fontId="15" type="noConversion"/>
  <pageMargins left="0.7" right="0.7" top="0.75" bottom="0.75" header="0.3" footer="0.3"/>
  <pageSetup orientation="landscape"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Y101"/>
  <sheetViews>
    <sheetView view="pageLayout" workbookViewId="0"/>
  </sheetViews>
  <sheetFormatPr baseColWidth="10" defaultRowHeight="15" x14ac:dyDescent="0"/>
  <cols>
    <col min="1" max="1" width="35" customWidth="1"/>
    <col min="2" max="19" width="18" customWidth="1"/>
  </cols>
  <sheetData>
    <row r="2" spans="1:19">
      <c r="A2" s="246" t="s">
        <v>3393</v>
      </c>
    </row>
    <row r="3" spans="1:19" ht="18">
      <c r="A3" s="147" t="str">
        <f>CONCATENATE(VLOOKUP($A$2,'Table of Contents'!$B:$E,4,FALSE)," ",$A$2)</f>
        <v>1.9 OEM Sales</v>
      </c>
    </row>
    <row r="5" spans="1:19">
      <c r="A5" t="s">
        <v>184</v>
      </c>
    </row>
    <row r="6" spans="1:19">
      <c r="A6" t="s">
        <v>2774</v>
      </c>
    </row>
    <row r="7" spans="1:19">
      <c r="A7" t="s">
        <v>2775</v>
      </c>
    </row>
    <row r="8" spans="1:19" ht="16" thickBot="1"/>
    <row r="9" spans="1:19" ht="16" thickTop="1">
      <c r="A9" s="45" t="s">
        <v>2797</v>
      </c>
      <c r="B9" s="46"/>
      <c r="C9" s="46"/>
      <c r="D9" s="46"/>
      <c r="E9" s="46"/>
      <c r="F9" s="46"/>
      <c r="G9" s="46"/>
      <c r="I9" s="46"/>
      <c r="J9" s="46"/>
      <c r="K9" s="46"/>
      <c r="L9" s="46"/>
      <c r="M9" s="46"/>
      <c r="N9" s="46"/>
      <c r="O9" s="46"/>
      <c r="P9" s="46"/>
      <c r="Q9" s="46"/>
      <c r="R9" s="46"/>
      <c r="S9" s="47"/>
    </row>
    <row r="10" spans="1:19" ht="16" thickBot="1">
      <c r="A10" s="48"/>
      <c r="B10" s="16"/>
      <c r="C10" s="16"/>
      <c r="D10" s="16"/>
      <c r="E10" s="16"/>
      <c r="F10" s="16"/>
      <c r="G10" s="16"/>
      <c r="H10" s="16"/>
      <c r="I10" s="16"/>
      <c r="J10" s="16"/>
      <c r="K10" s="16"/>
      <c r="L10" s="16"/>
      <c r="M10" s="16"/>
      <c r="N10" s="16"/>
      <c r="O10" s="16"/>
      <c r="P10" s="16"/>
      <c r="Q10" s="16"/>
      <c r="R10" s="16"/>
      <c r="S10" s="49"/>
    </row>
    <row r="11" spans="1:19" ht="45">
      <c r="A11" s="48" t="s">
        <v>96</v>
      </c>
      <c r="B11" s="238" t="s">
        <v>120</v>
      </c>
      <c r="C11" s="239" t="s">
        <v>138</v>
      </c>
      <c r="D11" s="238" t="s">
        <v>126</v>
      </c>
      <c r="E11" s="239" t="s">
        <v>117</v>
      </c>
      <c r="F11" s="238" t="s">
        <v>118</v>
      </c>
      <c r="G11" s="239" t="s">
        <v>119</v>
      </c>
      <c r="H11" s="238" t="s">
        <v>131</v>
      </c>
      <c r="I11" s="239" t="s">
        <v>139</v>
      </c>
      <c r="J11" s="240" t="s">
        <v>140</v>
      </c>
      <c r="K11" s="239" t="s">
        <v>114</v>
      </c>
      <c r="L11" s="238" t="s">
        <v>135</v>
      </c>
      <c r="M11" s="239" t="s">
        <v>165</v>
      </c>
      <c r="N11" s="240" t="s">
        <v>137</v>
      </c>
      <c r="O11" s="241" t="s">
        <v>136</v>
      </c>
      <c r="P11" s="240" t="s">
        <v>150</v>
      </c>
      <c r="Q11" s="241" t="s">
        <v>151</v>
      </c>
      <c r="R11" s="240" t="s">
        <v>152</v>
      </c>
      <c r="S11" s="242" t="s">
        <v>153</v>
      </c>
    </row>
    <row r="12" spans="1:19">
      <c r="A12" s="48" t="s">
        <v>89</v>
      </c>
      <c r="B12" s="11">
        <v>320219700</v>
      </c>
      <c r="C12" s="12"/>
      <c r="D12" s="11">
        <v>307596900</v>
      </c>
      <c r="E12" s="12">
        <v>392546000</v>
      </c>
      <c r="F12" s="11">
        <v>299794900</v>
      </c>
      <c r="G12" s="12">
        <v>444444200</v>
      </c>
      <c r="H12" s="11">
        <v>205767100</v>
      </c>
      <c r="I12" s="12">
        <v>384631200</v>
      </c>
      <c r="J12" s="11"/>
      <c r="K12" s="12">
        <v>315052200</v>
      </c>
      <c r="L12" s="11"/>
      <c r="M12" s="12">
        <v>281065800</v>
      </c>
      <c r="N12" s="11"/>
      <c r="O12" s="12">
        <v>235772000</v>
      </c>
      <c r="P12" s="11"/>
      <c r="Q12" s="12">
        <v>199324300</v>
      </c>
      <c r="R12" s="11"/>
      <c r="S12" s="50">
        <v>154540700</v>
      </c>
    </row>
    <row r="13" spans="1:19">
      <c r="A13" s="48" t="s">
        <v>90</v>
      </c>
      <c r="B13" s="11">
        <v>225850600</v>
      </c>
      <c r="C13" s="12"/>
      <c r="D13" s="11">
        <v>191425800</v>
      </c>
      <c r="E13" s="12">
        <v>191426000</v>
      </c>
      <c r="F13" s="11">
        <v>150785900</v>
      </c>
      <c r="G13" s="12">
        <v>150785900</v>
      </c>
      <c r="H13" s="11">
        <v>130133200</v>
      </c>
      <c r="I13" s="12">
        <v>130133200</v>
      </c>
      <c r="J13" s="11"/>
      <c r="K13" s="12">
        <v>89263200</v>
      </c>
      <c r="L13" s="11">
        <v>46598300</v>
      </c>
      <c r="M13" s="12">
        <v>46598300</v>
      </c>
      <c r="N13" s="11">
        <v>24889700</v>
      </c>
      <c r="O13" s="12">
        <v>24889700</v>
      </c>
      <c r="P13" s="11">
        <v>24889800</v>
      </c>
      <c r="Q13" s="12"/>
      <c r="R13" s="11"/>
      <c r="S13" s="50"/>
    </row>
    <row r="14" spans="1:19">
      <c r="A14" s="48" t="s">
        <v>123</v>
      </c>
      <c r="B14" s="11"/>
      <c r="C14" s="12"/>
      <c r="D14" s="11"/>
      <c r="E14" s="12">
        <v>185660000</v>
      </c>
      <c r="F14" s="11"/>
      <c r="G14" s="12" t="s">
        <v>11</v>
      </c>
      <c r="H14" s="11"/>
      <c r="I14" s="12"/>
      <c r="J14" s="11"/>
      <c r="K14" s="12"/>
      <c r="L14" s="11"/>
      <c r="M14" s="12"/>
      <c r="N14" s="11"/>
      <c r="O14" s="12"/>
      <c r="P14" s="11"/>
      <c r="Q14" s="12"/>
      <c r="R14" s="11"/>
      <c r="S14" s="50"/>
    </row>
    <row r="15" spans="1:19">
      <c r="A15" s="48" t="s">
        <v>111</v>
      </c>
      <c r="B15" s="11"/>
      <c r="C15" s="12"/>
      <c r="D15" s="11"/>
      <c r="E15" s="12"/>
      <c r="F15" s="11"/>
      <c r="G15" s="12">
        <v>250793100</v>
      </c>
      <c r="H15" s="11"/>
      <c r="I15" s="12">
        <v>333938000</v>
      </c>
      <c r="J15" s="11"/>
      <c r="K15" s="12">
        <v>422478300</v>
      </c>
      <c r="L15" s="11">
        <v>111576700</v>
      </c>
      <c r="M15" s="12">
        <v>461318200</v>
      </c>
      <c r="N15" s="11">
        <v>80878300</v>
      </c>
      <c r="O15" s="12">
        <v>440881600</v>
      </c>
      <c r="P15" s="11">
        <v>72933500</v>
      </c>
      <c r="Q15" s="12">
        <v>472314900</v>
      </c>
      <c r="R15" s="11"/>
      <c r="S15" s="50">
        <v>435453100</v>
      </c>
    </row>
    <row r="16" spans="1:19">
      <c r="A16" s="48" t="s">
        <v>112</v>
      </c>
      <c r="B16" s="11"/>
      <c r="C16" s="12"/>
      <c r="D16" s="11"/>
      <c r="E16" s="12">
        <v>53910000</v>
      </c>
      <c r="F16" s="11"/>
      <c r="G16" s="12">
        <v>59898800</v>
      </c>
      <c r="H16" s="11"/>
      <c r="I16" s="12">
        <v>67344400</v>
      </c>
      <c r="J16" s="11"/>
      <c r="K16" s="12">
        <v>56881800</v>
      </c>
      <c r="L16" s="11"/>
      <c r="M16" s="12">
        <v>29686000</v>
      </c>
      <c r="N16" s="11"/>
      <c r="O16" s="12">
        <v>16026100</v>
      </c>
      <c r="P16" s="11"/>
      <c r="Q16" s="12"/>
      <c r="R16" s="11"/>
      <c r="S16" s="50"/>
    </row>
    <row r="17" spans="1:19">
      <c r="A17" s="48" t="s">
        <v>130</v>
      </c>
      <c r="B17" s="11"/>
      <c r="C17" s="12"/>
      <c r="D17" s="11"/>
      <c r="E17" s="12">
        <v>37791000</v>
      </c>
      <c r="F17" s="11"/>
      <c r="G17" s="12">
        <v>37595700</v>
      </c>
      <c r="H17" s="11"/>
      <c r="I17" s="12">
        <v>31394200</v>
      </c>
      <c r="J17" s="11"/>
      <c r="K17" s="12">
        <v>32597500</v>
      </c>
      <c r="L17" s="11"/>
      <c r="M17" s="12">
        <v>41819200</v>
      </c>
      <c r="N17" s="11"/>
      <c r="O17" s="12">
        <v>54956600</v>
      </c>
      <c r="P17" s="11"/>
      <c r="Q17" s="12">
        <v>93106100</v>
      </c>
      <c r="R17" s="11"/>
      <c r="S17" s="50">
        <v>101358400</v>
      </c>
    </row>
    <row r="18" spans="1:19">
      <c r="A18" s="48" t="s">
        <v>125</v>
      </c>
      <c r="B18" s="11"/>
      <c r="C18" s="12"/>
      <c r="D18" s="11"/>
      <c r="E18" s="12">
        <v>37094000</v>
      </c>
      <c r="F18" s="11"/>
      <c r="G18" s="12">
        <v>25431000</v>
      </c>
      <c r="H18" s="11"/>
      <c r="I18" s="12"/>
      <c r="J18" s="11"/>
      <c r="K18" s="12"/>
      <c r="L18" s="11"/>
      <c r="M18" s="12"/>
      <c r="N18" s="11"/>
      <c r="O18" s="12"/>
      <c r="P18" s="11"/>
      <c r="Q18" s="12"/>
      <c r="R18" s="11"/>
      <c r="S18" s="50"/>
    </row>
    <row r="19" spans="1:19">
      <c r="A19" s="48" t="s">
        <v>97</v>
      </c>
      <c r="B19" s="11">
        <v>104094700</v>
      </c>
      <c r="C19" s="12"/>
      <c r="D19" s="11">
        <v>68080700</v>
      </c>
      <c r="E19" s="12">
        <v>70499000</v>
      </c>
      <c r="F19" s="11">
        <v>46609400</v>
      </c>
      <c r="G19" s="12">
        <v>53295100</v>
      </c>
      <c r="H19" s="11">
        <v>27168700</v>
      </c>
      <c r="I19" s="12">
        <v>47288300</v>
      </c>
      <c r="J19" s="11"/>
      <c r="K19" s="12">
        <v>40663400</v>
      </c>
      <c r="L19" s="11"/>
      <c r="M19" s="12">
        <v>23814700</v>
      </c>
      <c r="N19" s="11"/>
      <c r="O19" s="12">
        <v>13490600</v>
      </c>
      <c r="P19" s="11"/>
      <c r="Q19" s="12"/>
      <c r="R19" s="11"/>
      <c r="S19" s="50"/>
    </row>
    <row r="20" spans="1:19">
      <c r="A20" s="48" t="s">
        <v>124</v>
      </c>
      <c r="B20" s="11"/>
      <c r="C20" s="12"/>
      <c r="D20" s="11"/>
      <c r="E20" s="12">
        <v>64026000</v>
      </c>
      <c r="F20" s="11"/>
      <c r="G20" s="12">
        <v>49531300</v>
      </c>
      <c r="H20" s="11"/>
      <c r="I20" s="12">
        <v>37176600</v>
      </c>
      <c r="J20" s="11"/>
      <c r="K20" s="12">
        <v>34037500</v>
      </c>
      <c r="L20" s="11"/>
      <c r="M20" s="12"/>
      <c r="N20" s="11"/>
      <c r="O20" s="12"/>
      <c r="P20" s="11"/>
      <c r="Q20" s="12"/>
      <c r="R20" s="11"/>
      <c r="S20" s="50"/>
    </row>
    <row r="21" spans="1:19">
      <c r="A21" s="48" t="s">
        <v>113</v>
      </c>
      <c r="B21" s="11"/>
      <c r="C21" s="12"/>
      <c r="D21" s="11"/>
      <c r="E21" s="12"/>
      <c r="F21" s="11"/>
      <c r="G21" s="12" t="s">
        <v>11</v>
      </c>
      <c r="H21" s="11"/>
      <c r="I21" s="12">
        <v>34210300</v>
      </c>
      <c r="J21" s="11"/>
      <c r="K21" s="12">
        <v>51541900</v>
      </c>
      <c r="L21" s="11">
        <v>47451600</v>
      </c>
      <c r="M21" s="12">
        <v>49651600</v>
      </c>
      <c r="N21" s="11">
        <v>34346600</v>
      </c>
      <c r="O21" s="12">
        <v>34346600</v>
      </c>
      <c r="P21" s="11">
        <v>23149000</v>
      </c>
      <c r="Q21" s="12"/>
      <c r="R21" s="11"/>
      <c r="S21" s="50"/>
    </row>
    <row r="22" spans="1:19">
      <c r="A22" s="48" t="s">
        <v>98</v>
      </c>
      <c r="B22" s="11">
        <v>72748200</v>
      </c>
      <c r="C22" s="12"/>
      <c r="D22" s="11">
        <v>81415800</v>
      </c>
      <c r="E22" s="12">
        <v>84029000</v>
      </c>
      <c r="F22" s="11">
        <v>43904500</v>
      </c>
      <c r="G22" s="12">
        <v>45284700</v>
      </c>
      <c r="H22" s="11">
        <v>21698500</v>
      </c>
      <c r="I22" s="12">
        <v>28151400</v>
      </c>
      <c r="J22" s="11"/>
      <c r="K22" s="12"/>
      <c r="L22" s="11"/>
      <c r="M22" s="12"/>
      <c r="N22" s="11"/>
      <c r="O22" s="12"/>
      <c r="P22" s="11"/>
      <c r="Q22" s="12"/>
      <c r="R22" s="11"/>
      <c r="S22" s="50"/>
    </row>
    <row r="23" spans="1:19">
      <c r="A23" s="48" t="s">
        <v>115</v>
      </c>
      <c r="B23" s="11"/>
      <c r="C23" s="12"/>
      <c r="D23" s="11"/>
      <c r="E23" s="12"/>
      <c r="F23" s="11"/>
      <c r="G23" s="12" t="s">
        <v>11</v>
      </c>
      <c r="H23" s="11"/>
      <c r="I23" s="12"/>
      <c r="J23" s="11"/>
      <c r="K23" s="12">
        <v>40269100</v>
      </c>
      <c r="L23" s="11"/>
      <c r="M23" s="12">
        <v>38553700</v>
      </c>
      <c r="N23" s="11"/>
      <c r="O23" s="12">
        <v>58475200</v>
      </c>
      <c r="P23" s="11"/>
      <c r="Q23" s="12">
        <v>106522400</v>
      </c>
      <c r="R23" s="11"/>
      <c r="S23" s="50">
        <v>164307000</v>
      </c>
    </row>
    <row r="24" spans="1:19">
      <c r="A24" s="48" t="s">
        <v>116</v>
      </c>
      <c r="B24" s="11"/>
      <c r="C24" s="12"/>
      <c r="D24" s="11"/>
      <c r="E24" s="12"/>
      <c r="F24" s="11"/>
      <c r="G24" s="12" t="s">
        <v>11</v>
      </c>
      <c r="H24" s="11"/>
      <c r="I24" s="12">
        <v>32121800</v>
      </c>
      <c r="J24" s="11"/>
      <c r="K24" s="12">
        <v>43266900</v>
      </c>
      <c r="L24" s="11"/>
      <c r="M24" s="12">
        <v>24688400</v>
      </c>
      <c r="N24" s="11"/>
      <c r="O24" s="12">
        <v>10811900</v>
      </c>
      <c r="P24" s="11"/>
      <c r="Q24" s="12"/>
      <c r="R24" s="11"/>
      <c r="S24" s="50"/>
    </row>
    <row r="25" spans="1:19">
      <c r="A25" s="48" t="s">
        <v>133</v>
      </c>
      <c r="B25" s="11"/>
      <c r="C25" s="12"/>
      <c r="D25" s="11"/>
      <c r="E25" s="12"/>
      <c r="F25" s="11"/>
      <c r="G25" s="12">
        <v>32601400</v>
      </c>
      <c r="H25" s="11"/>
      <c r="I25" s="12">
        <v>18557500</v>
      </c>
      <c r="J25" s="11"/>
      <c r="K25" s="12"/>
      <c r="L25" s="11"/>
      <c r="M25" s="12"/>
      <c r="N25" s="11"/>
      <c r="O25" s="12"/>
      <c r="P25" s="11"/>
      <c r="Q25" s="12"/>
      <c r="R25" s="11"/>
      <c r="S25" s="50"/>
    </row>
    <row r="26" spans="1:19">
      <c r="A26" s="48" t="s">
        <v>102</v>
      </c>
      <c r="B26" s="11">
        <v>65618600</v>
      </c>
      <c r="C26" s="12"/>
      <c r="D26" s="11">
        <v>56529300</v>
      </c>
      <c r="E26" s="12">
        <v>56529000</v>
      </c>
      <c r="F26" s="11"/>
      <c r="G26" s="12">
        <v>13423000</v>
      </c>
      <c r="H26" s="11"/>
      <c r="I26" s="12"/>
      <c r="J26" s="11"/>
      <c r="K26" s="12"/>
      <c r="L26" s="11"/>
      <c r="M26" s="12"/>
      <c r="N26" s="11"/>
      <c r="O26" s="12"/>
      <c r="P26" s="11"/>
      <c r="Q26" s="12"/>
      <c r="R26" s="11"/>
      <c r="S26" s="50"/>
    </row>
    <row r="27" spans="1:19">
      <c r="A27" s="48" t="s">
        <v>101</v>
      </c>
      <c r="B27" s="11"/>
      <c r="C27" s="12"/>
      <c r="D27" s="11">
        <v>57661000</v>
      </c>
      <c r="E27" s="12">
        <v>76096000</v>
      </c>
      <c r="F27" s="11">
        <v>46431800</v>
      </c>
      <c r="G27" s="12">
        <v>69024500</v>
      </c>
      <c r="H27" s="11">
        <v>25814100</v>
      </c>
      <c r="I27" s="12">
        <v>58015900</v>
      </c>
      <c r="J27" s="11"/>
      <c r="K27" s="12">
        <v>86370900</v>
      </c>
      <c r="L27" s="11"/>
      <c r="M27" s="12">
        <v>114154600</v>
      </c>
      <c r="N27" s="11"/>
      <c r="O27" s="12">
        <v>121972100</v>
      </c>
      <c r="P27" s="11"/>
      <c r="Q27" s="12">
        <v>102789100</v>
      </c>
      <c r="R27" s="11"/>
      <c r="S27" s="50">
        <v>78576300</v>
      </c>
    </row>
    <row r="28" spans="1:19">
      <c r="A28" s="48" t="s">
        <v>92</v>
      </c>
      <c r="B28" s="11">
        <v>635368500</v>
      </c>
      <c r="C28" s="12"/>
      <c r="D28" s="11">
        <f>539691300-D27</f>
        <v>482030300</v>
      </c>
      <c r="E28" s="12">
        <v>629360000</v>
      </c>
      <c r="F28" s="11">
        <v>380249300</v>
      </c>
      <c r="G28" s="12">
        <f>613710000-G26</f>
        <v>600287000</v>
      </c>
      <c r="H28" s="11">
        <v>269526600</v>
      </c>
      <c r="I28" s="12">
        <v>609544900</v>
      </c>
      <c r="J28" s="11"/>
      <c r="K28" s="12">
        <v>595886900</v>
      </c>
      <c r="L28" s="11">
        <f>L29-SUM(L12:L27)</f>
        <v>91020000</v>
      </c>
      <c r="M28" s="12">
        <v>485452000</v>
      </c>
      <c r="N28" s="11">
        <f>N29-SUM(N12:N27)</f>
        <v>32261500</v>
      </c>
      <c r="O28" s="12">
        <v>199617200</v>
      </c>
      <c r="P28" s="11">
        <f>P29-SUM(P12:P27)</f>
        <v>18315600</v>
      </c>
      <c r="Q28" s="12">
        <v>248196100</v>
      </c>
      <c r="R28" s="11"/>
      <c r="S28" s="50">
        <v>218604300</v>
      </c>
    </row>
    <row r="29" spans="1:19">
      <c r="A29" s="48" t="s">
        <v>106</v>
      </c>
      <c r="B29" s="11">
        <f>SUM(B12:B28)</f>
        <v>1423900300</v>
      </c>
      <c r="C29" s="12"/>
      <c r="D29" s="11">
        <f>SUM(D12:D28)</f>
        <v>1244739800</v>
      </c>
      <c r="E29" s="12"/>
      <c r="F29" s="11">
        <f>SUM(F12:F28)</f>
        <v>967775800</v>
      </c>
      <c r="G29" s="12" t="s">
        <v>11</v>
      </c>
      <c r="H29" s="11">
        <v>680108200</v>
      </c>
      <c r="I29" s="12"/>
      <c r="J29" s="11">
        <v>472000000</v>
      </c>
      <c r="K29" s="12"/>
      <c r="L29" s="11">
        <v>296646600</v>
      </c>
      <c r="M29" s="12"/>
      <c r="N29" s="11">
        <v>172376100</v>
      </c>
      <c r="O29" s="12"/>
      <c r="P29" s="11">
        <v>139287900</v>
      </c>
      <c r="Q29" s="16"/>
      <c r="R29" s="11">
        <v>122320000</v>
      </c>
      <c r="S29" s="50">
        <v>1152839800</v>
      </c>
    </row>
    <row r="30" spans="1:19">
      <c r="A30" s="48" t="s">
        <v>103</v>
      </c>
      <c r="B30" s="11">
        <v>1917000000</v>
      </c>
      <c r="C30" s="12">
        <v>1917000000</v>
      </c>
      <c r="D30" s="11"/>
      <c r="E30" s="12">
        <v>1878968000</v>
      </c>
      <c r="F30" s="11"/>
      <c r="G30" s="12">
        <v>1806964700</v>
      </c>
      <c r="H30" s="11"/>
      <c r="I30" s="12">
        <v>1746175600</v>
      </c>
      <c r="J30" s="11"/>
      <c r="K30" s="12">
        <v>1775712000</v>
      </c>
      <c r="L30" s="11"/>
      <c r="M30" s="12">
        <v>1596802400</v>
      </c>
      <c r="N30" s="11"/>
      <c r="O30" s="12">
        <v>1211239600</v>
      </c>
      <c r="P30" s="11"/>
      <c r="Q30" s="12">
        <v>1222252900</v>
      </c>
      <c r="R30" s="11"/>
      <c r="S30" s="50" t="s">
        <v>11</v>
      </c>
    </row>
    <row r="31" spans="1:19">
      <c r="A31" s="48" t="s">
        <v>121</v>
      </c>
      <c r="B31" s="11">
        <f>B30-B29</f>
        <v>493099700</v>
      </c>
      <c r="C31" s="12"/>
      <c r="D31" s="11"/>
      <c r="E31" s="12"/>
      <c r="F31" s="11"/>
      <c r="G31" s="12"/>
      <c r="H31" s="11"/>
      <c r="I31" s="12"/>
      <c r="J31" s="11"/>
      <c r="K31" s="12"/>
      <c r="L31" s="11"/>
      <c r="M31" s="12"/>
      <c r="N31" s="11"/>
      <c r="O31" s="12"/>
      <c r="P31" s="11"/>
      <c r="Q31" s="12"/>
      <c r="R31" s="11"/>
      <c r="S31" s="50"/>
    </row>
    <row r="32" spans="1:19" ht="16" thickBot="1">
      <c r="A32" s="48" t="s">
        <v>105</v>
      </c>
      <c r="B32" s="13">
        <v>195000000</v>
      </c>
      <c r="C32" s="14"/>
      <c r="D32" s="13"/>
      <c r="E32" s="15"/>
      <c r="F32" s="13">
        <v>195435004</v>
      </c>
      <c r="G32" s="14" t="s">
        <v>11</v>
      </c>
      <c r="H32" s="13"/>
      <c r="I32" s="14">
        <v>116348317</v>
      </c>
      <c r="J32" s="13"/>
      <c r="K32" s="14"/>
      <c r="L32" s="13"/>
      <c r="M32" s="14"/>
      <c r="N32" s="13"/>
      <c r="O32" s="14"/>
      <c r="P32" s="13"/>
      <c r="Q32" s="14"/>
      <c r="R32" s="13"/>
      <c r="S32" s="51"/>
    </row>
    <row r="33" spans="1:19">
      <c r="A33" s="48" t="s">
        <v>6</v>
      </c>
      <c r="B33" s="16" t="s">
        <v>99</v>
      </c>
      <c r="C33" s="16"/>
      <c r="D33" s="16" t="s">
        <v>99</v>
      </c>
      <c r="E33" s="16" t="s">
        <v>122</v>
      </c>
      <c r="F33" s="16" t="s">
        <v>100</v>
      </c>
      <c r="G33" s="16" t="s">
        <v>122</v>
      </c>
      <c r="H33" s="16"/>
      <c r="I33" s="16" t="s">
        <v>127</v>
      </c>
      <c r="J33" s="16"/>
      <c r="K33" s="16" t="s">
        <v>127</v>
      </c>
      <c r="L33" s="16" t="s">
        <v>134</v>
      </c>
      <c r="M33" s="16" t="s">
        <v>129</v>
      </c>
      <c r="N33" s="16" t="s">
        <v>154</v>
      </c>
      <c r="O33" s="16" t="s">
        <v>154</v>
      </c>
      <c r="P33" s="16" t="s">
        <v>154</v>
      </c>
      <c r="Q33" s="16" t="s">
        <v>154</v>
      </c>
      <c r="R33" s="16" t="s">
        <v>149</v>
      </c>
      <c r="S33" s="49" t="s">
        <v>156</v>
      </c>
    </row>
    <row r="34" spans="1:19">
      <c r="A34" s="48"/>
      <c r="B34" s="16" t="s">
        <v>104</v>
      </c>
      <c r="C34" s="16"/>
      <c r="D34" s="16" t="s">
        <v>100</v>
      </c>
      <c r="E34" s="16"/>
      <c r="F34" s="16" t="s">
        <v>107</v>
      </c>
      <c r="G34" s="16" t="s">
        <v>107</v>
      </c>
      <c r="H34" s="16"/>
      <c r="I34" s="16" t="s">
        <v>107</v>
      </c>
      <c r="J34" s="16"/>
      <c r="K34" s="16" t="s">
        <v>129</v>
      </c>
      <c r="L34" s="16"/>
      <c r="M34" s="16" t="s">
        <v>134</v>
      </c>
      <c r="N34" s="16" t="s">
        <v>134</v>
      </c>
      <c r="O34" s="16" t="s">
        <v>134</v>
      </c>
      <c r="P34" s="16" t="s">
        <v>149</v>
      </c>
      <c r="Q34" s="16"/>
      <c r="R34" s="16"/>
      <c r="S34" s="49"/>
    </row>
    <row r="35" spans="1:19" ht="16" thickBot="1">
      <c r="A35" s="52"/>
      <c r="B35" s="9"/>
      <c r="C35" s="9"/>
      <c r="D35" s="9"/>
      <c r="E35" s="9"/>
      <c r="F35" s="9" t="s">
        <v>132</v>
      </c>
      <c r="G35" s="9" t="s">
        <v>132</v>
      </c>
      <c r="H35" s="9" t="s">
        <v>132</v>
      </c>
      <c r="I35" s="9" t="s">
        <v>132</v>
      </c>
      <c r="J35" s="9" t="s">
        <v>149</v>
      </c>
      <c r="K35" s="9" t="s">
        <v>148</v>
      </c>
      <c r="L35" s="9"/>
      <c r="M35" s="9"/>
      <c r="N35" s="9"/>
      <c r="O35" s="9"/>
      <c r="P35" s="9"/>
      <c r="Q35" s="9"/>
      <c r="R35" s="9"/>
      <c r="S35" s="53"/>
    </row>
    <row r="36" spans="1:19" ht="16" thickTop="1">
      <c r="A36" s="16"/>
      <c r="B36" s="16"/>
      <c r="C36" s="16"/>
      <c r="D36" s="16"/>
      <c r="E36" s="16"/>
      <c r="F36" s="16"/>
      <c r="G36" s="16"/>
      <c r="H36" s="16"/>
      <c r="I36" s="16"/>
      <c r="J36" s="16"/>
      <c r="K36" s="16"/>
      <c r="L36" s="16"/>
      <c r="M36" s="16"/>
      <c r="N36" s="16"/>
      <c r="O36" s="16"/>
      <c r="P36" s="16"/>
      <c r="Q36" s="16"/>
      <c r="R36" s="16"/>
      <c r="S36" s="16"/>
    </row>
    <row r="37" spans="1:19">
      <c r="A37" s="16"/>
      <c r="B37" s="16"/>
      <c r="C37" s="16"/>
      <c r="D37" s="16"/>
      <c r="E37" s="16"/>
      <c r="F37" s="16"/>
      <c r="G37" s="16"/>
      <c r="H37" s="16"/>
      <c r="I37" s="16"/>
      <c r="J37" s="16"/>
      <c r="K37" s="16"/>
      <c r="L37" s="16"/>
      <c r="M37" s="16"/>
      <c r="N37" s="16"/>
      <c r="O37" s="16"/>
      <c r="P37" s="16"/>
      <c r="Q37" s="16"/>
      <c r="R37" s="16"/>
      <c r="S37" s="16"/>
    </row>
    <row r="38" spans="1:19">
      <c r="A38" t="s">
        <v>11</v>
      </c>
    </row>
    <row r="39" spans="1:19" ht="16" thickBot="1">
      <c r="A39" t="s">
        <v>11</v>
      </c>
    </row>
    <row r="40" spans="1:19" ht="16" thickTop="1">
      <c r="A40" s="45" t="s">
        <v>185</v>
      </c>
      <c r="B40" s="46"/>
      <c r="C40" s="46"/>
      <c r="D40" s="46"/>
      <c r="E40" s="46"/>
      <c r="F40" s="46"/>
      <c r="G40" s="46"/>
      <c r="H40" s="46"/>
      <c r="I40" s="46"/>
      <c r="J40" s="46"/>
      <c r="K40" s="46"/>
      <c r="L40" s="46"/>
      <c r="M40" s="47"/>
    </row>
    <row r="41" spans="1:19">
      <c r="A41" s="48"/>
      <c r="B41" s="16"/>
      <c r="C41" s="16"/>
      <c r="D41" s="16"/>
      <c r="E41" s="16"/>
      <c r="F41" s="16"/>
      <c r="G41" s="16"/>
      <c r="H41" s="16"/>
      <c r="I41" s="16"/>
      <c r="J41" s="16"/>
      <c r="K41" s="16"/>
      <c r="L41" s="16"/>
      <c r="M41" s="49"/>
    </row>
    <row r="42" spans="1:19">
      <c r="A42" s="48" t="s">
        <v>88</v>
      </c>
      <c r="B42" s="17" t="s">
        <v>141</v>
      </c>
      <c r="C42" s="18" t="s">
        <v>157</v>
      </c>
      <c r="D42" s="17" t="s">
        <v>142</v>
      </c>
      <c r="E42" s="18" t="s">
        <v>158</v>
      </c>
      <c r="F42" s="17" t="s">
        <v>159</v>
      </c>
      <c r="G42" s="18" t="s">
        <v>160</v>
      </c>
      <c r="H42" s="17" t="s">
        <v>143</v>
      </c>
      <c r="I42" s="18" t="s">
        <v>161</v>
      </c>
      <c r="J42" s="17" t="s">
        <v>163</v>
      </c>
      <c r="K42" s="18" t="s">
        <v>162</v>
      </c>
      <c r="L42" s="17" t="s">
        <v>144</v>
      </c>
      <c r="M42" s="54" t="s">
        <v>164</v>
      </c>
    </row>
    <row r="43" spans="1:19">
      <c r="A43" s="48" t="s">
        <v>5</v>
      </c>
      <c r="B43" s="19"/>
      <c r="C43" s="20"/>
      <c r="D43" s="19"/>
      <c r="E43" s="20"/>
      <c r="F43" s="19"/>
      <c r="G43" s="20"/>
      <c r="H43" s="19"/>
      <c r="I43" s="23">
        <v>335.6</v>
      </c>
      <c r="J43" s="19"/>
      <c r="K43" s="23">
        <v>416.9</v>
      </c>
      <c r="L43" s="19"/>
      <c r="M43" s="55">
        <v>453</v>
      </c>
    </row>
    <row r="44" spans="1:19">
      <c r="A44" s="48" t="s">
        <v>89</v>
      </c>
      <c r="B44" s="19">
        <v>324.8</v>
      </c>
      <c r="C44" s="20"/>
      <c r="D44" s="19">
        <v>318.2</v>
      </c>
      <c r="E44" s="20"/>
      <c r="F44" s="19">
        <v>313.89999999999998</v>
      </c>
      <c r="G44" s="20"/>
      <c r="H44" s="19">
        <v>219.7</v>
      </c>
      <c r="I44" s="23">
        <v>406</v>
      </c>
      <c r="J44" s="19"/>
      <c r="K44" s="23">
        <v>330.9</v>
      </c>
      <c r="L44" s="19"/>
      <c r="M44" s="55">
        <v>280.2</v>
      </c>
      <c r="N44" s="10"/>
    </row>
    <row r="45" spans="1:19">
      <c r="A45" s="48" t="s">
        <v>90</v>
      </c>
      <c r="B45" s="19">
        <v>231.5</v>
      </c>
      <c r="C45" s="20"/>
      <c r="D45" s="19">
        <v>192.7</v>
      </c>
      <c r="E45" s="20"/>
      <c r="F45" s="19">
        <v>153.4</v>
      </c>
      <c r="G45" s="20"/>
      <c r="H45" s="19">
        <v>135.9</v>
      </c>
      <c r="I45" s="23">
        <v>136.80000000000001</v>
      </c>
      <c r="J45" s="19"/>
      <c r="K45" s="23">
        <v>93.1</v>
      </c>
      <c r="L45" s="19"/>
      <c r="M45" s="55">
        <v>47.5</v>
      </c>
      <c r="N45" s="10"/>
    </row>
    <row r="46" spans="1:19">
      <c r="A46" s="48" t="s">
        <v>97</v>
      </c>
      <c r="B46" s="19">
        <v>106.6</v>
      </c>
      <c r="C46" s="20"/>
      <c r="D46" s="19">
        <v>73.8</v>
      </c>
      <c r="E46" s="20"/>
      <c r="F46" s="19">
        <v>48.8</v>
      </c>
      <c r="G46" s="20"/>
      <c r="H46" s="19">
        <v>29.1</v>
      </c>
      <c r="I46" s="20"/>
      <c r="J46" s="19"/>
      <c r="K46" s="20"/>
      <c r="L46" s="19"/>
      <c r="M46" s="55"/>
      <c r="N46" s="10"/>
    </row>
    <row r="47" spans="1:19">
      <c r="A47" s="48" t="s">
        <v>91</v>
      </c>
      <c r="B47" s="19"/>
      <c r="C47" s="20"/>
      <c r="D47" s="19"/>
      <c r="E47" s="20"/>
      <c r="F47" s="19">
        <v>47.7</v>
      </c>
      <c r="G47" s="20"/>
      <c r="H47" s="19">
        <v>26.3</v>
      </c>
      <c r="I47" s="23">
        <v>55.9</v>
      </c>
      <c r="J47" s="19"/>
      <c r="K47" s="23">
        <v>88.1</v>
      </c>
      <c r="L47" s="19"/>
      <c r="M47" s="55">
        <v>116.7</v>
      </c>
      <c r="N47" s="10"/>
    </row>
    <row r="48" spans="1:19">
      <c r="A48" s="48" t="s">
        <v>97</v>
      </c>
      <c r="B48" s="19"/>
      <c r="C48" s="20"/>
      <c r="D48" s="19"/>
      <c r="E48" s="20"/>
      <c r="F48" s="19"/>
      <c r="G48" s="20"/>
      <c r="H48" s="19"/>
      <c r="I48" s="20"/>
      <c r="J48" s="19"/>
      <c r="K48" s="20"/>
      <c r="L48" s="19"/>
      <c r="M48" s="55"/>
      <c r="N48" s="10"/>
    </row>
    <row r="49" spans="1:15">
      <c r="A49" s="48" t="s">
        <v>128</v>
      </c>
      <c r="B49" s="19">
        <v>70.8</v>
      </c>
      <c r="C49" s="20"/>
      <c r="D49" s="19">
        <v>57.7</v>
      </c>
      <c r="E49" s="20"/>
      <c r="F49" s="19"/>
      <c r="G49" s="20"/>
      <c r="H49" s="19"/>
      <c r="I49" s="20"/>
      <c r="J49" s="19"/>
      <c r="K49" s="20"/>
      <c r="L49" s="19"/>
      <c r="M49" s="55"/>
      <c r="N49" s="10"/>
    </row>
    <row r="50" spans="1:15">
      <c r="A50" s="48" t="s">
        <v>109</v>
      </c>
      <c r="B50" s="19">
        <v>74</v>
      </c>
      <c r="C50" s="20"/>
      <c r="D50" s="19">
        <v>59.4</v>
      </c>
      <c r="E50" s="20"/>
      <c r="F50" s="19">
        <v>45.5</v>
      </c>
      <c r="G50" s="20"/>
      <c r="H50" s="19">
        <v>23.7</v>
      </c>
      <c r="I50" s="20"/>
      <c r="J50" s="19"/>
      <c r="K50" s="20"/>
      <c r="L50" s="19"/>
      <c r="M50" s="55"/>
      <c r="N50" s="10"/>
    </row>
    <row r="51" spans="1:15">
      <c r="A51" s="48" t="s">
        <v>93</v>
      </c>
      <c r="B51" s="19"/>
      <c r="C51" s="20"/>
      <c r="D51" s="19"/>
      <c r="E51" s="20"/>
      <c r="F51" s="19"/>
      <c r="G51" s="20"/>
      <c r="H51" s="19"/>
      <c r="I51" s="23">
        <v>65</v>
      </c>
      <c r="J51" s="19"/>
      <c r="K51" s="23">
        <v>69.5</v>
      </c>
      <c r="L51" s="19"/>
      <c r="M51" s="55">
        <v>50.5</v>
      </c>
      <c r="N51" s="10"/>
    </row>
    <row r="52" spans="1:15">
      <c r="A52" s="48" t="s">
        <v>92</v>
      </c>
      <c r="B52" s="19">
        <v>625.20000000000005</v>
      </c>
      <c r="C52" s="20"/>
      <c r="D52" s="19">
        <v>599.9</v>
      </c>
      <c r="E52" s="20"/>
      <c r="F52" s="19">
        <v>394.9</v>
      </c>
      <c r="G52" s="20"/>
      <c r="H52" s="19">
        <v>290.5</v>
      </c>
      <c r="I52" s="23">
        <v>713.3</v>
      </c>
      <c r="J52" s="19"/>
      <c r="K52" s="23">
        <v>716.8</v>
      </c>
      <c r="L52" s="19"/>
      <c r="M52" s="55">
        <v>443.6</v>
      </c>
      <c r="N52" s="10"/>
    </row>
    <row r="53" spans="1:15">
      <c r="A53" s="48" t="s">
        <v>94</v>
      </c>
      <c r="B53" s="21">
        <v>1432.9</v>
      </c>
      <c r="C53" s="22"/>
      <c r="D53" s="21">
        <v>1301.7</v>
      </c>
      <c r="E53" s="22"/>
      <c r="F53" s="21">
        <f>SUM(F44:F52)</f>
        <v>1004.1999999999999</v>
      </c>
      <c r="G53" s="22"/>
      <c r="H53" s="21">
        <v>725.3</v>
      </c>
      <c r="I53" s="24">
        <f>SUM(I43:I52)</f>
        <v>1712.6</v>
      </c>
      <c r="J53" s="21"/>
      <c r="K53" s="24">
        <v>1715.3</v>
      </c>
      <c r="L53" s="21"/>
      <c r="M53" s="56">
        <v>1391.5</v>
      </c>
      <c r="N53" s="10"/>
    </row>
    <row r="54" spans="1:15">
      <c r="A54" s="48" t="s">
        <v>6</v>
      </c>
      <c r="B54" s="16" t="s">
        <v>145</v>
      </c>
      <c r="C54" s="16"/>
      <c r="D54" s="16" t="s">
        <v>145</v>
      </c>
      <c r="E54" s="16"/>
      <c r="F54" s="16" t="s">
        <v>110</v>
      </c>
      <c r="G54" s="16"/>
      <c r="H54" s="16" t="s">
        <v>110</v>
      </c>
      <c r="I54" s="16" t="s">
        <v>108</v>
      </c>
      <c r="J54" s="16"/>
      <c r="K54" s="16" t="s">
        <v>108</v>
      </c>
      <c r="L54" s="16"/>
      <c r="M54" s="57" t="s">
        <v>95</v>
      </c>
    </row>
    <row r="55" spans="1:15">
      <c r="A55" s="48"/>
      <c r="B55" s="16"/>
      <c r="C55" s="16"/>
      <c r="D55" s="16"/>
      <c r="E55" s="16"/>
      <c r="F55" s="16"/>
      <c r="G55" s="16"/>
      <c r="H55" s="16"/>
      <c r="I55" s="16"/>
      <c r="J55" s="16"/>
      <c r="K55" s="16"/>
      <c r="L55" s="16"/>
      <c r="M55" s="49"/>
    </row>
    <row r="56" spans="1:15" ht="16" thickBot="1">
      <c r="A56" s="52" t="s">
        <v>2796</v>
      </c>
      <c r="B56" s="58">
        <f>(B53*1000000)/B29</f>
        <v>1.0063204565656738</v>
      </c>
      <c r="C56" s="9"/>
      <c r="D56" s="58">
        <f>(D53*1000000)/D29</f>
        <v>1.0457607284671062</v>
      </c>
      <c r="E56" s="9"/>
      <c r="F56" s="58">
        <f>(F53*1000000)/F29</f>
        <v>1.03763702295511</v>
      </c>
      <c r="G56" s="9"/>
      <c r="H56" s="58">
        <f>(H53*1000000)/H29</f>
        <v>1.0664479563692955</v>
      </c>
      <c r="I56" s="58">
        <f>(I53*1000000)/I30</f>
        <v>0.98077192236565436</v>
      </c>
      <c r="J56" s="9"/>
      <c r="K56" s="58">
        <f>(K53*1000000)/K30</f>
        <v>0.96597871726946716</v>
      </c>
      <c r="L56" s="9"/>
      <c r="M56" s="59">
        <f>(M53*1000000)/M30</f>
        <v>0.87142905095834022</v>
      </c>
    </row>
    <row r="57" spans="1:15" ht="16" thickTop="1">
      <c r="B57" s="8" t="s">
        <v>11</v>
      </c>
      <c r="K57" s="1" t="s">
        <v>11</v>
      </c>
    </row>
    <row r="58" spans="1:15">
      <c r="B58" s="8" t="s">
        <v>11</v>
      </c>
      <c r="K58" s="1"/>
    </row>
    <row r="59" spans="1:15">
      <c r="A59" s="17" t="s">
        <v>1239</v>
      </c>
      <c r="D59" t="s">
        <v>11</v>
      </c>
      <c r="E59" t="s">
        <v>11</v>
      </c>
      <c r="F59" t="s">
        <v>11</v>
      </c>
      <c r="G59" t="s">
        <v>11</v>
      </c>
      <c r="H59" t="s">
        <v>11</v>
      </c>
    </row>
    <row r="60" spans="1:15">
      <c r="A60" s="19" t="s">
        <v>96</v>
      </c>
      <c r="B60" s="20" t="s">
        <v>2798</v>
      </c>
      <c r="C60" t="s">
        <v>2810</v>
      </c>
      <c r="D60" t="s">
        <v>2799</v>
      </c>
      <c r="E60" t="s">
        <v>2810</v>
      </c>
      <c r="F60" t="s">
        <v>2800</v>
      </c>
      <c r="G60" t="s">
        <v>2809</v>
      </c>
      <c r="H60" t="s">
        <v>2801</v>
      </c>
      <c r="I60" t="s">
        <v>2808</v>
      </c>
      <c r="J60" t="s">
        <v>2802</v>
      </c>
      <c r="K60" t="s">
        <v>2807</v>
      </c>
      <c r="L60" t="s">
        <v>2803</v>
      </c>
      <c r="M60" t="s">
        <v>2806</v>
      </c>
      <c r="N60" t="s">
        <v>2804</v>
      </c>
      <c r="O60" t="s">
        <v>2811</v>
      </c>
    </row>
    <row r="61" spans="1:15">
      <c r="A61" s="19" t="s">
        <v>89</v>
      </c>
      <c r="B61" s="20">
        <v>322.89999999999998</v>
      </c>
      <c r="F61">
        <v>306</v>
      </c>
      <c r="H61">
        <v>218</v>
      </c>
      <c r="J61">
        <v>95</v>
      </c>
      <c r="K61">
        <v>329</v>
      </c>
      <c r="M61">
        <v>280.2</v>
      </c>
      <c r="O61">
        <v>227.1</v>
      </c>
    </row>
    <row r="62" spans="1:15">
      <c r="A62" s="19" t="s">
        <v>90</v>
      </c>
      <c r="B62" s="20">
        <v>231.5</v>
      </c>
      <c r="F62">
        <v>131</v>
      </c>
      <c r="H62">
        <v>136</v>
      </c>
      <c r="J62">
        <v>93</v>
      </c>
      <c r="K62">
        <v>93.2</v>
      </c>
      <c r="M62">
        <v>47.5</v>
      </c>
      <c r="O62">
        <v>25.4</v>
      </c>
    </row>
    <row r="63" spans="1:15">
      <c r="A63" s="19" t="s">
        <v>97</v>
      </c>
      <c r="B63" s="20">
        <v>104.8</v>
      </c>
      <c r="F63">
        <v>41</v>
      </c>
      <c r="H63">
        <v>22</v>
      </c>
      <c r="J63">
        <v>10</v>
      </c>
      <c r="K63">
        <v>53</v>
      </c>
      <c r="M63">
        <v>30.2</v>
      </c>
      <c r="O63">
        <v>25.2</v>
      </c>
    </row>
    <row r="64" spans="1:15">
      <c r="A64" s="19" t="s">
        <v>1240</v>
      </c>
      <c r="B64" s="20">
        <v>50</v>
      </c>
    </row>
    <row r="65" spans="1:15">
      <c r="A65" s="19" t="s">
        <v>128</v>
      </c>
      <c r="B65" s="20">
        <v>70.7</v>
      </c>
      <c r="J65" s="1" t="s">
        <v>11</v>
      </c>
    </row>
    <row r="66" spans="1:15">
      <c r="A66" s="19" t="s">
        <v>1241</v>
      </c>
      <c r="B66" s="20">
        <v>40.5</v>
      </c>
    </row>
    <row r="67" spans="1:15">
      <c r="A67" s="19" t="s">
        <v>1242</v>
      </c>
      <c r="B67" s="20">
        <v>59.7</v>
      </c>
      <c r="F67">
        <v>49</v>
      </c>
      <c r="H67">
        <v>26</v>
      </c>
      <c r="J67">
        <v>24</v>
      </c>
      <c r="K67">
        <v>88.1</v>
      </c>
      <c r="M67">
        <v>116.7</v>
      </c>
      <c r="O67">
        <v>117.9</v>
      </c>
    </row>
    <row r="68" spans="1:15">
      <c r="A68" s="19" t="s">
        <v>93</v>
      </c>
      <c r="B68" s="20">
        <v>56.2</v>
      </c>
      <c r="F68">
        <v>45</v>
      </c>
      <c r="H68">
        <v>35</v>
      </c>
      <c r="J68">
        <v>12</v>
      </c>
      <c r="K68">
        <v>66</v>
      </c>
      <c r="M68">
        <v>60.4</v>
      </c>
      <c r="O68">
        <v>50.2</v>
      </c>
    </row>
    <row r="69" spans="1:15">
      <c r="A69" s="19" t="s">
        <v>109</v>
      </c>
      <c r="B69" s="20">
        <v>74</v>
      </c>
      <c r="F69">
        <v>47</v>
      </c>
      <c r="H69">
        <v>23</v>
      </c>
      <c r="J69">
        <v>2</v>
      </c>
    </row>
    <row r="70" spans="1:15">
      <c r="A70" s="19" t="s">
        <v>1243</v>
      </c>
      <c r="B70" s="20">
        <v>44.5</v>
      </c>
    </row>
    <row r="71" spans="1:15">
      <c r="A71" s="19" t="s">
        <v>1244</v>
      </c>
      <c r="B71" s="20">
        <v>20.2</v>
      </c>
    </row>
    <row r="72" spans="1:15">
      <c r="A72" s="19" t="s">
        <v>125</v>
      </c>
      <c r="B72" s="20">
        <v>14.4</v>
      </c>
    </row>
    <row r="73" spans="1:15">
      <c r="A73" s="19" t="s">
        <v>2812</v>
      </c>
      <c r="B73" s="20"/>
      <c r="F73">
        <v>40</v>
      </c>
      <c r="H73">
        <v>32</v>
      </c>
      <c r="J73">
        <v>24</v>
      </c>
      <c r="K73">
        <v>34.4</v>
      </c>
      <c r="M73">
        <v>43.1</v>
      </c>
      <c r="O73">
        <v>57.1</v>
      </c>
    </row>
    <row r="74" spans="1:15">
      <c r="A74" s="19" t="s">
        <v>2792</v>
      </c>
      <c r="B74" s="20"/>
      <c r="F74">
        <v>35</v>
      </c>
      <c r="H74">
        <v>18</v>
      </c>
      <c r="J74">
        <v>5</v>
      </c>
    </row>
    <row r="75" spans="1:15">
      <c r="A75" s="19" t="s">
        <v>2793</v>
      </c>
      <c r="B75" s="20"/>
      <c r="F75">
        <v>34</v>
      </c>
      <c r="H75">
        <v>35</v>
      </c>
      <c r="J75">
        <v>77</v>
      </c>
      <c r="K75">
        <v>417.1</v>
      </c>
      <c r="M75">
        <v>453</v>
      </c>
      <c r="O75">
        <v>431.8</v>
      </c>
    </row>
    <row r="76" spans="1:15">
      <c r="A76" s="19" t="s">
        <v>116</v>
      </c>
      <c r="B76" s="20"/>
      <c r="F76">
        <v>22</v>
      </c>
      <c r="H76">
        <v>31</v>
      </c>
      <c r="J76">
        <v>45</v>
      </c>
      <c r="K76">
        <v>45.2</v>
      </c>
      <c r="M76">
        <v>24.6</v>
      </c>
      <c r="O76">
        <v>11.7</v>
      </c>
    </row>
    <row r="77" spans="1:15">
      <c r="A77" s="19" t="s">
        <v>2794</v>
      </c>
      <c r="B77" s="20"/>
      <c r="F77">
        <v>21</v>
      </c>
      <c r="H77">
        <v>33</v>
      </c>
      <c r="J77">
        <v>51</v>
      </c>
      <c r="K77">
        <v>51.4</v>
      </c>
      <c r="M77">
        <v>47.4</v>
      </c>
      <c r="O77">
        <v>33.4</v>
      </c>
    </row>
    <row r="78" spans="1:15">
      <c r="A78" s="19" t="s">
        <v>2795</v>
      </c>
      <c r="B78" s="20"/>
      <c r="F78">
        <v>18</v>
      </c>
      <c r="H78">
        <v>23</v>
      </c>
      <c r="J78">
        <v>19</v>
      </c>
      <c r="K78">
        <v>41.4</v>
      </c>
      <c r="M78">
        <v>37.200000000000003</v>
      </c>
      <c r="O78">
        <v>55.1</v>
      </c>
    </row>
    <row r="79" spans="1:15">
      <c r="A79" s="19" t="s">
        <v>1247</v>
      </c>
      <c r="B79" s="20">
        <v>340.5</v>
      </c>
      <c r="F79">
        <v>167</v>
      </c>
      <c r="H79">
        <v>80</v>
      </c>
      <c r="J79">
        <v>27</v>
      </c>
      <c r="K79">
        <v>381.2</v>
      </c>
      <c r="M79">
        <v>284.7</v>
      </c>
      <c r="O79">
        <v>225.1</v>
      </c>
    </row>
    <row r="80" spans="1:15">
      <c r="A80" s="19" t="s">
        <v>94</v>
      </c>
      <c r="B80" s="20">
        <f>SUM(B61:B79)</f>
        <v>1429.9000000000003</v>
      </c>
      <c r="F80">
        <v>975</v>
      </c>
      <c r="H80">
        <v>712</v>
      </c>
      <c r="J80">
        <v>485</v>
      </c>
      <c r="K80">
        <v>1600</v>
      </c>
      <c r="M80">
        <v>1425</v>
      </c>
      <c r="O80">
        <v>1260</v>
      </c>
    </row>
    <row r="81" spans="1:25" ht="16" thickBot="1">
      <c r="A81" s="19" t="s">
        <v>2805</v>
      </c>
      <c r="B81" s="58">
        <f>(B80*1000000)/B29</f>
        <v>1.0042135674808133</v>
      </c>
      <c r="D81" s="58">
        <f>(D80*1000000)/D29</f>
        <v>0</v>
      </c>
      <c r="F81" s="58">
        <f>(F80*1000000)/F29</f>
        <v>1.0074647454503409</v>
      </c>
      <c r="H81" s="58">
        <f>(H80*1000000)/H29</f>
        <v>1.046892244498743</v>
      </c>
      <c r="J81" s="58">
        <f>(J80*1000000)/J29</f>
        <v>1.027542372881356</v>
      </c>
      <c r="K81" s="58" t="s">
        <v>11</v>
      </c>
      <c r="L81" s="58">
        <f>(L80*1000000)/L29</f>
        <v>0</v>
      </c>
      <c r="N81" s="58">
        <f>(N80*1000000)/N29</f>
        <v>0</v>
      </c>
    </row>
    <row r="82" spans="1:25" ht="16" thickTop="1">
      <c r="A82" s="21" t="s">
        <v>6</v>
      </c>
      <c r="B82" s="22" t="s">
        <v>1248</v>
      </c>
    </row>
    <row r="84" spans="1:25">
      <c r="K84" s="1"/>
    </row>
    <row r="85" spans="1:25">
      <c r="K85" s="1"/>
    </row>
    <row r="86" spans="1:25" ht="16" thickBot="1"/>
    <row r="87" spans="1:25" ht="16" thickTop="1">
      <c r="A87" s="45" t="s">
        <v>186</v>
      </c>
      <c r="B87" s="46"/>
      <c r="C87" s="46"/>
      <c r="D87" s="46"/>
      <c r="E87" s="46"/>
      <c r="F87" s="46"/>
      <c r="G87" s="46"/>
      <c r="H87" s="46"/>
      <c r="I87" s="46"/>
      <c r="J87" s="46"/>
      <c r="K87" s="46"/>
      <c r="L87" s="46"/>
      <c r="M87" s="46"/>
      <c r="N87" s="46"/>
      <c r="O87" s="46"/>
      <c r="P87" s="46"/>
      <c r="Q87" s="46"/>
      <c r="R87" s="46"/>
      <c r="S87" s="47"/>
    </row>
    <row r="88" spans="1:25">
      <c r="A88" s="48" t="s">
        <v>166</v>
      </c>
      <c r="B88" s="16"/>
      <c r="C88" s="16"/>
      <c r="D88" s="16"/>
      <c r="E88" s="16"/>
      <c r="F88" s="16"/>
      <c r="G88" s="16"/>
      <c r="H88" s="16"/>
      <c r="I88" s="16"/>
      <c r="J88" s="16"/>
      <c r="K88" s="16"/>
      <c r="L88" s="16"/>
      <c r="M88" s="16"/>
      <c r="N88" s="16"/>
      <c r="O88" s="16"/>
      <c r="P88" s="16"/>
      <c r="Q88" s="16"/>
      <c r="R88" s="16"/>
      <c r="S88" s="49"/>
    </row>
    <row r="89" spans="1:25">
      <c r="A89" s="60"/>
      <c r="B89" s="43"/>
      <c r="C89" s="34" t="s">
        <v>174</v>
      </c>
      <c r="D89" s="43"/>
      <c r="E89" s="34" t="s">
        <v>173</v>
      </c>
      <c r="F89" s="43"/>
      <c r="G89" s="43">
        <v>2013</v>
      </c>
      <c r="H89" s="43"/>
      <c r="I89" s="34" t="s">
        <v>172</v>
      </c>
      <c r="J89" s="43"/>
      <c r="K89" s="34" t="s">
        <v>171</v>
      </c>
      <c r="L89" s="43"/>
      <c r="M89" s="34" t="s">
        <v>170</v>
      </c>
      <c r="N89" s="43"/>
      <c r="O89" s="34" t="s">
        <v>169</v>
      </c>
      <c r="P89" s="43"/>
      <c r="Q89" s="34" t="s">
        <v>168</v>
      </c>
      <c r="R89" s="43"/>
      <c r="S89" s="61" t="s">
        <v>167</v>
      </c>
      <c r="T89" s="35"/>
      <c r="U89" s="35"/>
      <c r="Y89" s="25" t="s">
        <v>11</v>
      </c>
    </row>
    <row r="90" spans="1:25">
      <c r="A90" s="62" t="s">
        <v>175</v>
      </c>
      <c r="B90" s="43"/>
      <c r="C90" s="26">
        <v>532819893.18419075</v>
      </c>
      <c r="D90" s="43"/>
      <c r="E90" s="36">
        <v>660215913</v>
      </c>
      <c r="F90" s="43"/>
      <c r="G90" s="36">
        <v>827914697</v>
      </c>
      <c r="H90" s="43"/>
      <c r="I90" s="36">
        <v>1016821803</v>
      </c>
      <c r="J90" s="43"/>
      <c r="K90" s="36">
        <v>1223938248</v>
      </c>
      <c r="L90" s="43"/>
      <c r="M90" s="36">
        <v>1290131821</v>
      </c>
      <c r="N90" s="43"/>
      <c r="O90" s="36">
        <v>1167975351</v>
      </c>
      <c r="P90" s="43"/>
      <c r="Q90" s="36">
        <v>1163951728</v>
      </c>
      <c r="R90" s="43"/>
      <c r="S90" s="63">
        <v>1018150677</v>
      </c>
      <c r="T90" s="35"/>
      <c r="U90" s="35"/>
    </row>
    <row r="91" spans="1:25">
      <c r="A91" s="64" t="s">
        <v>176</v>
      </c>
      <c r="B91" s="43"/>
      <c r="C91" s="27">
        <v>13207.814351210378</v>
      </c>
      <c r="D91" s="43"/>
      <c r="E91" s="37">
        <v>22569.7967690185</v>
      </c>
      <c r="F91" s="43"/>
      <c r="G91" s="37">
        <v>38587.254071684685</v>
      </c>
      <c r="H91" s="43"/>
      <c r="I91" s="37">
        <v>59510.073976737578</v>
      </c>
      <c r="J91" s="43"/>
      <c r="K91" s="37">
        <v>94882.323117312495</v>
      </c>
      <c r="L91" s="43"/>
      <c r="M91" s="37">
        <v>129267.25810494128</v>
      </c>
      <c r="N91" s="43"/>
      <c r="O91" s="37">
        <v>144620.77172504985</v>
      </c>
      <c r="P91" s="43"/>
      <c r="Q91" s="37">
        <v>180669.61876706872</v>
      </c>
      <c r="R91" s="43"/>
      <c r="S91" s="65">
        <v>167083.16490155959</v>
      </c>
      <c r="T91" s="35"/>
      <c r="U91" s="35"/>
    </row>
    <row r="92" spans="1:25">
      <c r="A92" s="62" t="s">
        <v>177</v>
      </c>
      <c r="B92" s="43"/>
      <c r="C92" s="28">
        <v>24.788515819630938</v>
      </c>
      <c r="D92" s="66" t="s">
        <v>11</v>
      </c>
      <c r="E92" s="38">
        <v>34.185478302790472</v>
      </c>
      <c r="F92" s="43"/>
      <c r="G92" s="38">
        <v>46.607765524042492</v>
      </c>
      <c r="H92" s="43"/>
      <c r="I92" s="38">
        <v>58.525568394738265</v>
      </c>
      <c r="J92" s="43"/>
      <c r="K92" s="38">
        <v>77.522148909356176</v>
      </c>
      <c r="L92" s="43"/>
      <c r="M92" s="38">
        <v>100.19693801889511</v>
      </c>
      <c r="N92" s="43"/>
      <c r="O92" s="38">
        <v>123.82176695871887</v>
      </c>
      <c r="P92" s="43"/>
      <c r="Q92" s="38">
        <v>155.22088624543778</v>
      </c>
      <c r="R92" s="43"/>
      <c r="S92" s="67">
        <v>164.1045561093897</v>
      </c>
      <c r="T92" s="35"/>
      <c r="U92" s="35"/>
    </row>
    <row r="93" spans="1:25">
      <c r="A93" s="64" t="s">
        <v>178</v>
      </c>
      <c r="B93" s="43"/>
      <c r="C93" s="29">
        <v>1437395308.4335315</v>
      </c>
      <c r="D93" s="43" t="s">
        <v>11</v>
      </c>
      <c r="E93" s="39">
        <v>1301662415.1719999</v>
      </c>
      <c r="F93" s="43"/>
      <c r="G93" s="39">
        <v>1018737967.28</v>
      </c>
      <c r="H93" s="43"/>
      <c r="I93" s="39">
        <v>726702826.01800001</v>
      </c>
      <c r="J93" s="43"/>
      <c r="K93" s="39">
        <v>494446963.68060005</v>
      </c>
      <c r="L93" s="43"/>
      <c r="M93" s="39">
        <v>304681129.67999995</v>
      </c>
      <c r="N93" s="43"/>
      <c r="O93" s="39">
        <v>173353312</v>
      </c>
      <c r="P93" s="43"/>
      <c r="Q93" s="39">
        <v>150772945</v>
      </c>
      <c r="R93" s="43"/>
      <c r="S93" s="68">
        <v>123926790</v>
      </c>
      <c r="T93" s="35"/>
      <c r="U93" s="35"/>
    </row>
    <row r="94" spans="1:25">
      <c r="A94" s="62" t="s">
        <v>179</v>
      </c>
      <c r="B94" s="43"/>
      <c r="C94" s="30">
        <v>423794.97645269171</v>
      </c>
      <c r="D94" s="43" t="s">
        <v>11</v>
      </c>
      <c r="E94" s="40">
        <v>389523.27163087431</v>
      </c>
      <c r="F94" s="43"/>
      <c r="G94" s="40">
        <v>338264.36587506707</v>
      </c>
      <c r="H94" s="43"/>
      <c r="I94" s="40">
        <v>280598.43446589337</v>
      </c>
      <c r="J94" s="43"/>
      <c r="K94" s="40">
        <v>210063.40064820542</v>
      </c>
      <c r="L94" s="43"/>
      <c r="M94" s="40">
        <v>130189.49171530294</v>
      </c>
      <c r="N94" s="43"/>
      <c r="O94" s="40">
        <v>73117.594822306113</v>
      </c>
      <c r="P94" s="43"/>
      <c r="Q94" s="40">
        <v>64840.634115794426</v>
      </c>
      <c r="R94" s="43"/>
      <c r="S94" s="69">
        <v>52394.735350249895</v>
      </c>
      <c r="T94" s="35"/>
      <c r="U94" s="35"/>
    </row>
    <row r="95" spans="1:25">
      <c r="A95" s="64" t="s">
        <v>180</v>
      </c>
      <c r="B95" s="43"/>
      <c r="C95" s="31">
        <v>294.83536920302186</v>
      </c>
      <c r="D95" s="66" t="s">
        <v>11</v>
      </c>
      <c r="E95" s="41">
        <v>299.25060990518284</v>
      </c>
      <c r="F95" s="43"/>
      <c r="G95" s="41">
        <v>332.04256319043736</v>
      </c>
      <c r="H95" s="43"/>
      <c r="I95" s="41">
        <v>386.12542076304396</v>
      </c>
      <c r="J95" s="43"/>
      <c r="K95" s="41">
        <v>424.84516253173098</v>
      </c>
      <c r="L95" s="43"/>
      <c r="M95" s="41">
        <v>427.29752200944694</v>
      </c>
      <c r="N95" s="43"/>
      <c r="O95" s="41">
        <v>421.78366238717206</v>
      </c>
      <c r="P95" s="43"/>
      <c r="Q95" s="41">
        <v>430.05483587121302</v>
      </c>
      <c r="R95" s="43"/>
      <c r="S95" s="70">
        <v>422.78780359153893</v>
      </c>
      <c r="T95" s="35"/>
      <c r="U95" s="35"/>
    </row>
    <row r="96" spans="1:25">
      <c r="A96" s="71" t="s">
        <v>181</v>
      </c>
      <c r="B96" s="43"/>
      <c r="C96" s="32">
        <v>1970215201.6177223</v>
      </c>
      <c r="D96" s="43" t="s">
        <v>11</v>
      </c>
      <c r="E96" s="42">
        <v>1961878328.1719999</v>
      </c>
      <c r="F96" s="43"/>
      <c r="G96" s="42">
        <v>1846652664.28</v>
      </c>
      <c r="H96" s="43"/>
      <c r="I96" s="42">
        <v>1743524629.0180001</v>
      </c>
      <c r="J96" s="43"/>
      <c r="K96" s="42">
        <v>1718385211.6806002</v>
      </c>
      <c r="L96" s="43"/>
      <c r="M96" s="42">
        <v>1594812950.6799998</v>
      </c>
      <c r="N96" s="43"/>
      <c r="O96" s="42">
        <v>1341328663</v>
      </c>
      <c r="P96" s="43"/>
      <c r="Q96" s="42">
        <v>1314724673</v>
      </c>
      <c r="R96" s="43"/>
      <c r="S96" s="72">
        <v>1142077467</v>
      </c>
      <c r="T96" s="35"/>
      <c r="U96" s="35"/>
    </row>
    <row r="97" spans="1:21">
      <c r="A97" s="64" t="s">
        <v>182</v>
      </c>
      <c r="B97" s="43"/>
      <c r="C97" s="33">
        <v>437002.79080390208</v>
      </c>
      <c r="D97" s="43" t="s">
        <v>11</v>
      </c>
      <c r="E97" s="37">
        <v>412093.06839989283</v>
      </c>
      <c r="F97" s="43"/>
      <c r="G97" s="37">
        <v>376851.61994675174</v>
      </c>
      <c r="H97" s="43"/>
      <c r="I97" s="37">
        <v>340108.50844263093</v>
      </c>
      <c r="J97" s="43"/>
      <c r="K97" s="37">
        <v>304945.72376551793</v>
      </c>
      <c r="L97" s="43"/>
      <c r="M97" s="37">
        <v>259456.74982024421</v>
      </c>
      <c r="N97" s="43"/>
      <c r="O97" s="37">
        <v>217738.36654735595</v>
      </c>
      <c r="P97" s="43"/>
      <c r="Q97" s="37">
        <v>245510.25288286316</v>
      </c>
      <c r="R97" s="43"/>
      <c r="S97" s="65">
        <v>219477.90025180948</v>
      </c>
      <c r="T97" s="35"/>
      <c r="U97" s="35"/>
    </row>
    <row r="98" spans="1:21" ht="16" thickBot="1">
      <c r="A98" s="73" t="s">
        <v>183</v>
      </c>
      <c r="B98" s="74"/>
      <c r="C98" s="75">
        <v>221.804598018066</v>
      </c>
      <c r="D98" s="76" t="s">
        <v>11</v>
      </c>
      <c r="E98" s="77">
        <v>210.05026788988681</v>
      </c>
      <c r="F98" s="74"/>
      <c r="G98" s="77">
        <v>204.07282172562049</v>
      </c>
      <c r="H98" s="74"/>
      <c r="I98" s="77">
        <v>195.06951767821602</v>
      </c>
      <c r="J98" s="74"/>
      <c r="K98" s="77">
        <v>177.46063088338474</v>
      </c>
      <c r="L98" s="74"/>
      <c r="M98" s="77">
        <v>162.6878874476254</v>
      </c>
      <c r="N98" s="74"/>
      <c r="O98" s="77">
        <v>162.33036134511838</v>
      </c>
      <c r="P98" s="74"/>
      <c r="Q98" s="77">
        <v>186.73891037782559</v>
      </c>
      <c r="R98" s="74"/>
      <c r="S98" s="78">
        <v>192.17426715223857</v>
      </c>
      <c r="T98" s="35"/>
      <c r="U98" s="35"/>
    </row>
    <row r="99" spans="1:21" ht="16" thickTop="1">
      <c r="A99" s="79" t="s">
        <v>187</v>
      </c>
      <c r="C99" s="3">
        <f>C94/C97</f>
        <v>0.96977636154928548</v>
      </c>
      <c r="E99" s="3">
        <f>E94/E97</f>
        <v>0.94523131180863029</v>
      </c>
      <c r="G99" s="3">
        <f>G94/G97</f>
        <v>0.89760624068131389</v>
      </c>
      <c r="I99" s="3">
        <f>I94/I97</f>
        <v>0.82502621222492689</v>
      </c>
      <c r="K99" s="3">
        <f>K94/K97</f>
        <v>0.68885504624990113</v>
      </c>
      <c r="M99" s="3">
        <f>M94/M97</f>
        <v>0.50177723958039366</v>
      </c>
      <c r="O99" s="3">
        <f>O94/O97</f>
        <v>0.33580482843570775</v>
      </c>
      <c r="Q99" s="3">
        <f>Q94/Q97</f>
        <v>0.26410560599573379</v>
      </c>
      <c r="S99" s="3">
        <f>S94/S97</f>
        <v>0.23872442414537784</v>
      </c>
    </row>
    <row r="100" spans="1:21">
      <c r="C100" t="s">
        <v>11</v>
      </c>
    </row>
    <row r="101" spans="1:21">
      <c r="B101" t="s">
        <v>11</v>
      </c>
    </row>
  </sheetData>
  <sortState ref="A126:B330">
    <sortCondition ref="A126:A330"/>
  </sortState>
  <phoneticPr fontId="15" type="noConversion"/>
  <hyperlinks>
    <hyperlink ref="M54" r:id="rId1"/>
  </hyperlinks>
  <pageMargins left="0.7" right="0.7" top="0.75" bottom="0.75" header="0.3" footer="0.3"/>
  <pageSetup orientation="landscape"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432FF"/>
  </sheetPr>
  <dimension ref="A12:A41"/>
  <sheetViews>
    <sheetView showGridLines="0" view="pageLayout" topLeftCell="A12" workbookViewId="0">
      <selection activeCell="A15" sqref="A15:A41"/>
    </sheetView>
  </sheetViews>
  <sheetFormatPr baseColWidth="10" defaultRowHeight="15" x14ac:dyDescent="0"/>
  <cols>
    <col min="1" max="1" width="75.83203125" customWidth="1"/>
  </cols>
  <sheetData>
    <row r="12" spans="1:1" ht="25">
      <c r="A12" s="153" t="s">
        <v>3042</v>
      </c>
    </row>
    <row r="13" spans="1:1" ht="25">
      <c r="A13" s="153" t="s">
        <v>3376</v>
      </c>
    </row>
    <row r="15" spans="1:1">
      <c r="A15" s="383" t="s">
        <v>3381</v>
      </c>
    </row>
    <row r="16" spans="1:1">
      <c r="A16" s="383"/>
    </row>
    <row r="17" spans="1:1">
      <c r="A17" s="383"/>
    </row>
    <row r="18" spans="1:1">
      <c r="A18" s="383"/>
    </row>
    <row r="19" spans="1:1">
      <c r="A19" s="383"/>
    </row>
    <row r="20" spans="1:1">
      <c r="A20" s="383"/>
    </row>
    <row r="21" spans="1:1">
      <c r="A21" s="383"/>
    </row>
    <row r="22" spans="1:1">
      <c r="A22" s="383"/>
    </row>
    <row r="23" spans="1:1">
      <c r="A23" s="383"/>
    </row>
    <row r="24" spans="1:1">
      <c r="A24" s="383"/>
    </row>
    <row r="25" spans="1:1">
      <c r="A25" s="383"/>
    </row>
    <row r="26" spans="1:1">
      <c r="A26" s="383"/>
    </row>
    <row r="27" spans="1:1">
      <c r="A27" s="383"/>
    </row>
    <row r="28" spans="1:1">
      <c r="A28" s="383"/>
    </row>
    <row r="29" spans="1:1">
      <c r="A29" s="383"/>
    </row>
    <row r="30" spans="1:1">
      <c r="A30" s="383"/>
    </row>
    <row r="31" spans="1:1">
      <c r="A31" s="383"/>
    </row>
    <row r="32" spans="1:1">
      <c r="A32" s="383"/>
    </row>
    <row r="33" spans="1:1">
      <c r="A33" s="383"/>
    </row>
    <row r="34" spans="1:1">
      <c r="A34" s="383"/>
    </row>
    <row r="35" spans="1:1">
      <c r="A35" s="383"/>
    </row>
    <row r="36" spans="1:1">
      <c r="A36" s="383"/>
    </row>
    <row r="37" spans="1:1">
      <c r="A37" s="383"/>
    </row>
    <row r="38" spans="1:1">
      <c r="A38" s="383"/>
    </row>
    <row r="39" spans="1:1">
      <c r="A39" s="383"/>
    </row>
    <row r="40" spans="1:1">
      <c r="A40" s="383"/>
    </row>
    <row r="41" spans="1:1">
      <c r="A41" s="383"/>
    </row>
  </sheetData>
  <mergeCells count="1">
    <mergeCell ref="A15:A41"/>
  </mergeCells>
  <phoneticPr fontId="15" type="noConversion"/>
  <pageMargins left="0.7" right="0.7" top="0.75" bottom="0.75" header="0.3" footer="0.3"/>
  <pageSetup orientation="portrait" horizontalDpi="4294967292" verticalDpi="4294967292"/>
  <headerFooter>
    <oddHeader>&amp;LA New Dataset on Mobile Phone _x000D_Patent License Royalties&amp;RJuly 2016 Update</oddHeader>
    <oddFooter>&amp;LAlexander Galetovic, Stephen Haber, _x000D_and Lew Zaretzki</oddFooter>
  </headerFooter>
  <extLst>
    <ext xmlns:mx="http://schemas.microsoft.com/office/mac/excel/2008/main" uri="{64002731-A6B0-56B0-2670-7721B7C09600}">
      <mx:PLV Mode="1" OnePage="0" WScale="100"/>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25"/>
  <sheetViews>
    <sheetView showGridLines="0" view="pageLayout" workbookViewId="0">
      <selection activeCell="A7" sqref="A7:E7"/>
    </sheetView>
  </sheetViews>
  <sheetFormatPr baseColWidth="10" defaultRowHeight="15" x14ac:dyDescent="0"/>
  <cols>
    <col min="1" max="1" width="12" customWidth="1"/>
    <col min="2" max="2" width="17.5" bestFit="1" customWidth="1"/>
    <col min="3" max="3" width="15" customWidth="1"/>
    <col min="4" max="4" width="16.33203125" customWidth="1"/>
    <col min="5" max="5" width="48" customWidth="1"/>
  </cols>
  <sheetData>
    <row r="2" spans="1:5">
      <c r="A2" s="246" t="s">
        <v>2878</v>
      </c>
    </row>
    <row r="3" spans="1:5" ht="18">
      <c r="A3" s="147" t="str">
        <f>CONCATENATE(VLOOKUP($A$2,'Table of Contents'!$B:$E,4,FALSE)," ",$A$2)</f>
        <v>2.1 Qualcomm</v>
      </c>
    </row>
    <row r="4" spans="1:5">
      <c r="A4" t="str">
        <f>VLOOKUP($A$2,'Table of Contents'!$B:$E,3,FALSE)</f>
        <v>Public Corp</v>
      </c>
    </row>
    <row r="5" spans="1:5">
      <c r="A5" s="148" t="str">
        <f>VLOOKUP($A$2,'Table of Contents'!$B:$E,2,FALSE)</f>
        <v>Confirmed</v>
      </c>
    </row>
    <row r="7" spans="1:5" ht="30" customHeight="1">
      <c r="A7" s="392" t="s">
        <v>3479</v>
      </c>
      <c r="B7" s="392"/>
      <c r="C7" s="392"/>
      <c r="D7" s="392"/>
      <c r="E7" s="392"/>
    </row>
    <row r="9" spans="1:5" ht="45">
      <c r="A9" s="145" t="s">
        <v>3222</v>
      </c>
      <c r="B9" s="169" t="s">
        <v>3475</v>
      </c>
      <c r="C9" s="169" t="s">
        <v>3476</v>
      </c>
      <c r="D9" s="169" t="s">
        <v>3228</v>
      </c>
      <c r="E9" s="145" t="s">
        <v>1</v>
      </c>
    </row>
    <row r="10" spans="1:5" ht="30">
      <c r="A10" s="151">
        <v>2000</v>
      </c>
      <c r="B10" s="193">
        <v>671185000</v>
      </c>
      <c r="D10" s="190"/>
      <c r="E10" s="130" t="s">
        <v>3226</v>
      </c>
    </row>
    <row r="11" spans="1:5" ht="30">
      <c r="A11" s="151">
        <f>A10+1</f>
        <v>2001</v>
      </c>
      <c r="B11" s="193">
        <v>771930000</v>
      </c>
      <c r="C11" s="193"/>
      <c r="D11" s="193"/>
      <c r="E11" s="130" t="s">
        <v>3055</v>
      </c>
    </row>
    <row r="12" spans="1:5" ht="30">
      <c r="A12" s="151">
        <f t="shared" ref="A12:A25" si="0">A11+1</f>
        <v>2002</v>
      </c>
      <c r="B12" s="193">
        <v>835000000</v>
      </c>
      <c r="C12" s="193"/>
      <c r="D12" s="193"/>
      <c r="E12" s="130" t="s">
        <v>3225</v>
      </c>
    </row>
    <row r="13" spans="1:5" ht="30">
      <c r="A13" s="151">
        <f t="shared" si="0"/>
        <v>2003</v>
      </c>
      <c r="B13" s="193">
        <v>985000000</v>
      </c>
      <c r="C13" s="193"/>
      <c r="D13" s="193"/>
      <c r="E13" s="130" t="s">
        <v>3177</v>
      </c>
    </row>
    <row r="14" spans="1:5" ht="30">
      <c r="A14" s="151">
        <f t="shared" si="0"/>
        <v>2004</v>
      </c>
      <c r="B14" s="193">
        <v>1366000000</v>
      </c>
      <c r="C14" s="193"/>
      <c r="D14" s="193"/>
      <c r="E14" s="130" t="s">
        <v>3177</v>
      </c>
    </row>
    <row r="15" spans="1:5" ht="30">
      <c r="A15" s="151">
        <f t="shared" si="0"/>
        <v>2005</v>
      </c>
      <c r="B15" s="193">
        <v>1929000000</v>
      </c>
      <c r="C15" s="193"/>
      <c r="D15" s="193"/>
      <c r="E15" s="130" t="s">
        <v>3177</v>
      </c>
    </row>
    <row r="16" spans="1:5" ht="30">
      <c r="A16" s="151">
        <f t="shared" si="0"/>
        <v>2006</v>
      </c>
      <c r="B16" s="193">
        <v>2750000000</v>
      </c>
      <c r="C16" s="193"/>
      <c r="D16" s="193"/>
      <c r="E16" s="130" t="s">
        <v>3057</v>
      </c>
    </row>
    <row r="17" spans="1:5" ht="30">
      <c r="A17" s="151">
        <f t="shared" si="0"/>
        <v>2007</v>
      </c>
      <c r="B17" s="193">
        <v>3106000000</v>
      </c>
      <c r="C17" s="193"/>
      <c r="D17" s="193"/>
      <c r="E17" s="130" t="s">
        <v>3178</v>
      </c>
    </row>
    <row r="18" spans="1:5" ht="30">
      <c r="A18" s="151">
        <f t="shared" si="0"/>
        <v>2008</v>
      </c>
      <c r="B18" s="193">
        <v>3982000000</v>
      </c>
      <c r="C18" s="193"/>
      <c r="D18" s="193"/>
      <c r="E18" s="130" t="s">
        <v>3227</v>
      </c>
    </row>
    <row r="19" spans="1:5" ht="30">
      <c r="A19" s="151">
        <f t="shared" si="0"/>
        <v>2009</v>
      </c>
      <c r="B19" s="193">
        <v>3950000000</v>
      </c>
      <c r="C19" s="193"/>
      <c r="D19" s="193"/>
      <c r="E19" s="130" t="s">
        <v>3179</v>
      </c>
    </row>
    <row r="20" spans="1:5" ht="30">
      <c r="A20" s="151">
        <f t="shared" si="0"/>
        <v>2010</v>
      </c>
      <c r="B20" s="193">
        <v>4011000000</v>
      </c>
      <c r="C20" s="193"/>
      <c r="D20" s="193"/>
      <c r="E20" s="130" t="s">
        <v>3056</v>
      </c>
    </row>
    <row r="21" spans="1:5" ht="45">
      <c r="A21" s="151">
        <f t="shared" si="0"/>
        <v>2011</v>
      </c>
      <c r="B21" s="193">
        <v>5734000000</v>
      </c>
      <c r="C21" s="193"/>
      <c r="D21" s="193"/>
      <c r="E21" s="130" t="s">
        <v>3223</v>
      </c>
    </row>
    <row r="22" spans="1:5" ht="45">
      <c r="A22" s="151">
        <f t="shared" si="0"/>
        <v>2012</v>
      </c>
      <c r="B22" s="193">
        <v>6656000000</v>
      </c>
      <c r="C22" s="193"/>
      <c r="D22" s="193"/>
      <c r="E22" s="130" t="s">
        <v>3224</v>
      </c>
    </row>
    <row r="23" spans="1:5" ht="30">
      <c r="A23" s="151">
        <f t="shared" si="0"/>
        <v>2013</v>
      </c>
      <c r="B23" s="193">
        <v>7878000000</v>
      </c>
      <c r="C23" s="193"/>
      <c r="D23" s="193"/>
      <c r="E23" s="130" t="s">
        <v>3180</v>
      </c>
    </row>
    <row r="24" spans="1:5" ht="30">
      <c r="A24" s="151">
        <f t="shared" si="0"/>
        <v>2014</v>
      </c>
      <c r="B24" s="193">
        <v>7862000000</v>
      </c>
      <c r="C24" s="193"/>
      <c r="D24" s="193"/>
      <c r="E24" s="130" t="s">
        <v>3180</v>
      </c>
    </row>
    <row r="25" spans="1:5" ht="45">
      <c r="A25" s="151">
        <f t="shared" si="0"/>
        <v>2015</v>
      </c>
      <c r="B25" s="193">
        <v>8202000000</v>
      </c>
      <c r="C25" s="190">
        <f>(200)*2.5*1000000</f>
        <v>500000000</v>
      </c>
      <c r="D25" s="193">
        <f>B25-C25</f>
        <v>7702000000</v>
      </c>
      <c r="E25" s="130" t="s">
        <v>3229</v>
      </c>
    </row>
  </sheetData>
  <mergeCells count="1">
    <mergeCell ref="A7:E7"/>
  </mergeCells>
  <phoneticPr fontId="15" type="noConversion"/>
  <pageMargins left="0.7" right="0.7" top="0.75" bottom="0.75" header="0.3" footer="0.3"/>
  <pageSetup orientation="landscape"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3"/>
  <sheetViews>
    <sheetView view="pageLayout" workbookViewId="0">
      <selection activeCell="B21" sqref="B21"/>
    </sheetView>
  </sheetViews>
  <sheetFormatPr baseColWidth="10" defaultRowHeight="15" x14ac:dyDescent="0"/>
  <cols>
    <col min="1" max="1" width="8" customWidth="1"/>
    <col min="2" max="2" width="18.6640625" customWidth="1"/>
    <col min="3" max="3" width="18" customWidth="1"/>
    <col min="4" max="4" width="17" customWidth="1"/>
    <col min="5" max="6" width="16.83203125" customWidth="1"/>
    <col min="7" max="7" width="17.33203125" customWidth="1"/>
    <col min="8" max="8" width="17.5" customWidth="1"/>
    <col min="9" max="9" width="16" customWidth="1"/>
    <col min="10" max="10" width="20.33203125" customWidth="1"/>
    <col min="11" max="11" width="19.33203125" customWidth="1"/>
    <col min="12" max="12" width="72.6640625" customWidth="1"/>
  </cols>
  <sheetData>
    <row r="2" spans="1:11">
      <c r="A2" s="246" t="s">
        <v>2880</v>
      </c>
    </row>
    <row r="3" spans="1:11" ht="18">
      <c r="A3" s="147" t="str">
        <f>CONCATENATE(VLOOKUP($A$2,'Table of Contents'!$B:$E,4,FALSE)," ",$A$2)</f>
        <v>2.2 Ericsson</v>
      </c>
    </row>
    <row r="4" spans="1:11">
      <c r="A4" t="str">
        <f>VLOOKUP($A$2,'Table of Contents'!$B:$E,3,FALSE)</f>
        <v>Public Corp</v>
      </c>
    </row>
    <row r="5" spans="1:11">
      <c r="A5" s="148" t="str">
        <f>VLOOKUP($A$2,'Table of Contents'!$B:$E,2,FALSE)</f>
        <v>Confirmed</v>
      </c>
    </row>
    <row r="7" spans="1:11" ht="32" customHeight="1">
      <c r="A7" s="392" t="s">
        <v>3478</v>
      </c>
      <c r="B7" s="392"/>
      <c r="C7" s="392"/>
      <c r="D7" s="392"/>
      <c r="E7" s="392"/>
      <c r="F7" s="392"/>
      <c r="G7" s="392"/>
    </row>
    <row r="8" spans="1:11" s="110" customFormat="1" ht="105">
      <c r="A8" s="169" t="s">
        <v>81</v>
      </c>
      <c r="B8" s="169" t="s">
        <v>3172</v>
      </c>
      <c r="C8" s="169" t="s">
        <v>2788</v>
      </c>
      <c r="D8" s="169" t="s">
        <v>2789</v>
      </c>
      <c r="E8" s="169" t="s">
        <v>69</v>
      </c>
      <c r="F8" s="169" t="s">
        <v>68</v>
      </c>
      <c r="G8" s="169" t="s">
        <v>70</v>
      </c>
      <c r="H8" s="169" t="s">
        <v>22</v>
      </c>
      <c r="I8" s="176" t="s">
        <v>3171</v>
      </c>
      <c r="J8" s="169" t="s">
        <v>6</v>
      </c>
      <c r="K8" s="169" t="s">
        <v>2</v>
      </c>
    </row>
    <row r="9" spans="1:11">
      <c r="A9" s="128">
        <f t="shared" ref="A9:A18" si="0">A10-1</f>
        <v>2004</v>
      </c>
      <c r="B9" s="188">
        <v>2498000000</v>
      </c>
      <c r="C9" s="5"/>
      <c r="D9" s="5"/>
      <c r="E9" s="5"/>
      <c r="F9" s="188"/>
      <c r="G9" s="188">
        <f>B9+F9</f>
        <v>2498000000</v>
      </c>
      <c r="H9" s="180">
        <v>7.3489000000000004</v>
      </c>
      <c r="I9" s="191">
        <f t="shared" ref="I9:I19" si="1">G9/H9</f>
        <v>339914817.18352407</v>
      </c>
      <c r="J9" t="s">
        <v>73</v>
      </c>
    </row>
    <row r="10" spans="1:11">
      <c r="A10" s="128">
        <f t="shared" si="0"/>
        <v>2005</v>
      </c>
      <c r="B10" s="188">
        <v>3888000000</v>
      </c>
      <c r="C10" s="5"/>
      <c r="D10" s="5"/>
      <c r="E10" s="5"/>
      <c r="F10" s="188"/>
      <c r="G10" s="188">
        <f t="shared" ref="G10:G20" si="2">B10+F10</f>
        <v>3888000000</v>
      </c>
      <c r="H10" s="180">
        <v>7.9459999999999997</v>
      </c>
      <c r="I10" s="191">
        <f t="shared" si="1"/>
        <v>489302793.85854518</v>
      </c>
      <c r="J10" t="s">
        <v>72</v>
      </c>
      <c r="K10" s="4" t="s">
        <v>71</v>
      </c>
    </row>
    <row r="11" spans="1:11">
      <c r="A11" s="128">
        <f t="shared" si="0"/>
        <v>2006</v>
      </c>
      <c r="B11" s="188">
        <v>5250000000</v>
      </c>
      <c r="C11" s="5"/>
      <c r="D11" s="5"/>
      <c r="E11" s="5"/>
      <c r="F11" s="188"/>
      <c r="G11" s="188">
        <f t="shared" si="2"/>
        <v>5250000000</v>
      </c>
      <c r="H11" s="180">
        <v>6.8529999999999998</v>
      </c>
      <c r="I11" s="191">
        <f t="shared" si="1"/>
        <v>766087844.73953021</v>
      </c>
      <c r="J11" t="s">
        <v>72</v>
      </c>
      <c r="K11" s="4" t="s">
        <v>71</v>
      </c>
    </row>
    <row r="12" spans="1:11">
      <c r="A12" s="128">
        <f t="shared" si="0"/>
        <v>2007</v>
      </c>
      <c r="B12" s="188">
        <v>6877000000</v>
      </c>
      <c r="C12" s="5"/>
      <c r="D12" s="5"/>
      <c r="E12" s="5"/>
      <c r="F12" s="188"/>
      <c r="G12" s="188">
        <f t="shared" si="2"/>
        <v>6877000000</v>
      </c>
      <c r="H12" s="180">
        <v>6.46</v>
      </c>
      <c r="I12" s="191">
        <f t="shared" si="1"/>
        <v>1064551083.5913312</v>
      </c>
      <c r="J12" t="s">
        <v>31</v>
      </c>
      <c r="K12" t="s">
        <v>32</v>
      </c>
    </row>
    <row r="13" spans="1:11">
      <c r="A13" s="128">
        <f t="shared" si="0"/>
        <v>2008</v>
      </c>
      <c r="B13" s="188">
        <v>9106000000</v>
      </c>
      <c r="C13" s="188">
        <v>5000000000</v>
      </c>
      <c r="D13" s="188">
        <v>9106000000</v>
      </c>
      <c r="E13" s="3">
        <f>(D13-C13)/C13</f>
        <v>0.82120000000000004</v>
      </c>
      <c r="F13" s="188"/>
      <c r="G13" s="188">
        <f t="shared" si="2"/>
        <v>9106000000</v>
      </c>
      <c r="H13" s="180">
        <v>7.8795000000000002</v>
      </c>
      <c r="I13" s="191">
        <f t="shared" si="1"/>
        <v>1155657084.8404086</v>
      </c>
      <c r="J13" t="s">
        <v>30</v>
      </c>
      <c r="K13" t="s">
        <v>55</v>
      </c>
    </row>
    <row r="14" spans="1:11">
      <c r="A14" s="128">
        <f t="shared" si="0"/>
        <v>2009</v>
      </c>
      <c r="B14" s="188">
        <v>4481000000</v>
      </c>
      <c r="C14" s="5"/>
      <c r="D14" s="5"/>
      <c r="E14" s="5"/>
      <c r="F14" s="188">
        <f>B14*0.821</f>
        <v>3678901000</v>
      </c>
      <c r="G14" s="188">
        <f t="shared" si="2"/>
        <v>8159901000</v>
      </c>
      <c r="H14" s="180">
        <v>7.1694000000000004</v>
      </c>
      <c r="I14" s="191">
        <f t="shared" si="1"/>
        <v>1138156749.5187881</v>
      </c>
      <c r="J14" t="s">
        <v>33</v>
      </c>
      <c r="K14" s="4" t="s">
        <v>54</v>
      </c>
    </row>
    <row r="15" spans="1:11">
      <c r="A15" s="128">
        <f t="shared" si="0"/>
        <v>2010</v>
      </c>
      <c r="B15" s="188">
        <v>4597000000</v>
      </c>
      <c r="C15" s="5"/>
      <c r="D15" s="5" t="s">
        <v>11</v>
      </c>
      <c r="E15" s="5"/>
      <c r="F15" s="188">
        <f>B15*0.821</f>
        <v>3774137000</v>
      </c>
      <c r="G15" s="188">
        <f t="shared" si="2"/>
        <v>8371137000</v>
      </c>
      <c r="H15" s="180">
        <v>6.7241999999999997</v>
      </c>
      <c r="I15" s="191">
        <f t="shared" si="1"/>
        <v>1244926831.4446328</v>
      </c>
      <c r="J15" t="s">
        <v>38</v>
      </c>
    </row>
    <row r="16" spans="1:11">
      <c r="A16" s="128">
        <f t="shared" si="0"/>
        <v>2011</v>
      </c>
      <c r="B16" s="188">
        <v>6205000000</v>
      </c>
      <c r="C16" s="5"/>
      <c r="D16" s="5"/>
      <c r="E16" s="5"/>
      <c r="F16" s="188">
        <f>B16*0.821</f>
        <v>5094305000</v>
      </c>
      <c r="G16" s="188">
        <f t="shared" si="2"/>
        <v>11299305000</v>
      </c>
      <c r="H16" s="180">
        <v>6.9051</v>
      </c>
      <c r="I16" s="191">
        <f t="shared" si="1"/>
        <v>1636370943.215884</v>
      </c>
      <c r="J16" t="s">
        <v>28</v>
      </c>
      <c r="K16" t="s">
        <v>29</v>
      </c>
    </row>
    <row r="17" spans="1:11">
      <c r="A17" s="128">
        <f t="shared" si="0"/>
        <v>2012</v>
      </c>
      <c r="B17" s="188">
        <v>6619000000</v>
      </c>
      <c r="C17" s="5"/>
      <c r="D17" s="5"/>
      <c r="E17" s="5"/>
      <c r="F17" s="188">
        <f>B17*0.821</f>
        <v>5434199000</v>
      </c>
      <c r="G17" s="188">
        <f t="shared" si="2"/>
        <v>12053199000</v>
      </c>
      <c r="H17" s="180">
        <v>6.5106999999999999</v>
      </c>
      <c r="I17" s="191">
        <f t="shared" si="1"/>
        <v>1851290798.2244613</v>
      </c>
      <c r="J17" t="s">
        <v>27</v>
      </c>
    </row>
    <row r="18" spans="1:11">
      <c r="A18" s="128">
        <f t="shared" si="0"/>
        <v>2013</v>
      </c>
      <c r="B18" s="188">
        <v>10552000000</v>
      </c>
      <c r="C18" s="5"/>
      <c r="D18" s="5"/>
      <c r="E18" s="5"/>
      <c r="F18" s="188"/>
      <c r="G18" s="188">
        <f t="shared" si="2"/>
        <v>10552000000</v>
      </c>
      <c r="H18" s="180">
        <v>6.4288999999999996</v>
      </c>
      <c r="I18" s="191">
        <f t="shared" si="1"/>
        <v>1641338331.5963852</v>
      </c>
      <c r="J18" t="s">
        <v>26</v>
      </c>
      <c r="K18" s="4" t="s">
        <v>25</v>
      </c>
    </row>
    <row r="19" spans="1:11">
      <c r="A19" s="128">
        <f>A20-1</f>
        <v>2014</v>
      </c>
      <c r="B19" s="188">
        <v>9917000000</v>
      </c>
      <c r="C19" s="5"/>
      <c r="D19" s="5"/>
      <c r="E19" s="5"/>
      <c r="F19" s="188"/>
      <c r="G19" s="188">
        <f t="shared" si="2"/>
        <v>9917000000</v>
      </c>
      <c r="H19" s="180">
        <v>7.8048000000000002</v>
      </c>
      <c r="I19" s="191">
        <f t="shared" si="1"/>
        <v>1270628331.2833128</v>
      </c>
      <c r="J19" t="s">
        <v>83</v>
      </c>
      <c r="K19" s="4" t="s">
        <v>24</v>
      </c>
    </row>
    <row r="20" spans="1:11">
      <c r="A20" s="128">
        <v>2015</v>
      </c>
      <c r="B20" s="188">
        <v>14396000000</v>
      </c>
      <c r="C20" s="5"/>
      <c r="D20" s="5"/>
      <c r="E20" s="5"/>
      <c r="F20" s="188"/>
      <c r="G20" s="188">
        <f t="shared" si="2"/>
        <v>14396000000</v>
      </c>
      <c r="H20" s="180">
        <v>8.4489999999999998</v>
      </c>
      <c r="I20" s="191">
        <f>G20/H20</f>
        <v>1703870280.5065689</v>
      </c>
      <c r="J20" t="s">
        <v>82</v>
      </c>
      <c r="K20" s="4" t="s">
        <v>23</v>
      </c>
    </row>
    <row r="22" spans="1:11">
      <c r="A22" t="s">
        <v>34</v>
      </c>
    </row>
    <row r="23" spans="1:11">
      <c r="A23" t="s">
        <v>35</v>
      </c>
    </row>
    <row r="24" spans="1:11">
      <c r="A24" t="s">
        <v>36</v>
      </c>
    </row>
    <row r="25" spans="1:11">
      <c r="A25" t="s">
        <v>37</v>
      </c>
    </row>
    <row r="26" spans="1:11">
      <c r="A26" t="s">
        <v>39</v>
      </c>
    </row>
    <row r="27" spans="1:11">
      <c r="A27" t="s">
        <v>40</v>
      </c>
    </row>
    <row r="28" spans="1:11">
      <c r="A28" t="s">
        <v>41</v>
      </c>
    </row>
    <row r="29" spans="1:11">
      <c r="A29" t="s">
        <v>42</v>
      </c>
    </row>
    <row r="30" spans="1:11">
      <c r="A30" t="s">
        <v>43</v>
      </c>
    </row>
    <row r="31" spans="1:11">
      <c r="A31" t="s">
        <v>44</v>
      </c>
    </row>
    <row r="32" spans="1:11">
      <c r="A32" t="s">
        <v>45</v>
      </c>
    </row>
    <row r="33" spans="1:1">
      <c r="A33" t="s">
        <v>46</v>
      </c>
    </row>
    <row r="34" spans="1:1">
      <c r="A34" t="s">
        <v>47</v>
      </c>
    </row>
    <row r="35" spans="1:1">
      <c r="A35" t="s">
        <v>51</v>
      </c>
    </row>
    <row r="36" spans="1:1">
      <c r="A36" t="s">
        <v>48</v>
      </c>
    </row>
    <row r="37" spans="1:1">
      <c r="A37" t="s">
        <v>52</v>
      </c>
    </row>
    <row r="38" spans="1:1">
      <c r="A38" t="s">
        <v>49</v>
      </c>
    </row>
    <row r="39" spans="1:1">
      <c r="A39" t="s">
        <v>50</v>
      </c>
    </row>
    <row r="40" spans="1:1">
      <c r="A40" t="s">
        <v>53</v>
      </c>
    </row>
    <row r="41" spans="1:1">
      <c r="A41" t="s">
        <v>56</v>
      </c>
    </row>
    <row r="42" spans="1:1">
      <c r="A42" t="s">
        <v>57</v>
      </c>
    </row>
    <row r="43" spans="1:1">
      <c r="A43" s="7" t="s">
        <v>58</v>
      </c>
    </row>
    <row r="44" spans="1:1">
      <c r="A44" t="s">
        <v>60</v>
      </c>
    </row>
    <row r="45" spans="1:1">
      <c r="A45" t="s">
        <v>61</v>
      </c>
    </row>
    <row r="46" spans="1:1">
      <c r="A46" t="s">
        <v>59</v>
      </c>
    </row>
    <row r="47" spans="1:1">
      <c r="A47" t="s">
        <v>62</v>
      </c>
    </row>
    <row r="48" spans="1:1">
      <c r="A48" t="s">
        <v>63</v>
      </c>
    </row>
    <row r="49" spans="1:1">
      <c r="A49" t="s">
        <v>64</v>
      </c>
    </row>
    <row r="50" spans="1:1">
      <c r="A50" t="s">
        <v>65</v>
      </c>
    </row>
    <row r="51" spans="1:1">
      <c r="A51" t="s">
        <v>66</v>
      </c>
    </row>
    <row r="52" spans="1:1">
      <c r="A52" t="s">
        <v>67</v>
      </c>
    </row>
    <row r="53" spans="1:1">
      <c r="A53" t="s">
        <v>2726</v>
      </c>
    </row>
  </sheetData>
  <mergeCells count="1">
    <mergeCell ref="A7:G7"/>
  </mergeCells>
  <phoneticPr fontId="15" type="noConversion"/>
  <pageMargins left="0.7" right="0.7" top="0.75" bottom="0.75" header="0.3" footer="0.3"/>
  <pageSetup orientation="landscape"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2"/>
  <sheetViews>
    <sheetView showGridLines="0" view="pageLayout" workbookViewId="0">
      <selection activeCell="A9" sqref="A9"/>
    </sheetView>
  </sheetViews>
  <sheetFormatPr baseColWidth="10" defaultRowHeight="15" x14ac:dyDescent="0"/>
  <cols>
    <col min="1" max="1" width="10.6640625" customWidth="1"/>
    <col min="2" max="2" width="16.33203125" customWidth="1"/>
    <col min="3" max="3" width="12.6640625" customWidth="1"/>
    <col min="4" max="4" width="16.33203125" customWidth="1"/>
    <col min="5" max="5" width="56.33203125" customWidth="1"/>
    <col min="6" max="6" width="20" customWidth="1"/>
  </cols>
  <sheetData>
    <row r="2" spans="1:6">
      <c r="A2" s="246" t="s">
        <v>5</v>
      </c>
    </row>
    <row r="3" spans="1:6" ht="18">
      <c r="A3" s="147" t="str">
        <f>CONCATENATE(VLOOKUP($A$2,'Table of Contents'!$B:$E,4,FALSE)," ",$A$2)</f>
        <v>2.3 Nokia</v>
      </c>
    </row>
    <row r="4" spans="1:6">
      <c r="A4" t="str">
        <f>VLOOKUP($A$2,'Table of Contents'!$B:$E,3,FALSE)</f>
        <v>Public Corp</v>
      </c>
    </row>
    <row r="5" spans="1:6">
      <c r="A5" s="148" t="str">
        <f>VLOOKUP($A$2,'Table of Contents'!$B:$E,2,FALSE)</f>
        <v>Confirmed</v>
      </c>
    </row>
    <row r="8" spans="1:6" ht="51" customHeight="1">
      <c r="A8" s="383" t="s">
        <v>3477</v>
      </c>
      <c r="B8" s="383"/>
      <c r="C8" s="383"/>
      <c r="D8" s="383"/>
      <c r="E8" s="383"/>
    </row>
    <row r="10" spans="1:6">
      <c r="A10" s="2" t="s">
        <v>3397</v>
      </c>
    </row>
    <row r="11" spans="1:6">
      <c r="A11" s="2"/>
    </row>
    <row r="12" spans="1:6" s="111" customFormat="1" ht="45">
      <c r="A12" s="183" t="s">
        <v>81</v>
      </c>
      <c r="B12" s="169" t="s">
        <v>3170</v>
      </c>
      <c r="C12" s="169" t="s">
        <v>7</v>
      </c>
      <c r="D12" s="176" t="s">
        <v>3169</v>
      </c>
      <c r="E12" s="169" t="s">
        <v>6</v>
      </c>
      <c r="F12" s="169" t="s">
        <v>2</v>
      </c>
    </row>
    <row r="13" spans="1:6">
      <c r="A13" s="179">
        <v>2007</v>
      </c>
      <c r="B13" s="184"/>
      <c r="C13" s="128"/>
      <c r="D13" s="192"/>
      <c r="F13" t="s">
        <v>14</v>
      </c>
    </row>
    <row r="14" spans="1:6">
      <c r="A14" s="179">
        <v>2008</v>
      </c>
      <c r="B14" s="184"/>
      <c r="C14" s="128"/>
      <c r="D14" s="192"/>
      <c r="F14" t="s">
        <v>17</v>
      </c>
    </row>
    <row r="15" spans="1:6">
      <c r="A15" s="179">
        <v>2009</v>
      </c>
      <c r="B15" s="185">
        <v>500000000</v>
      </c>
      <c r="C15" s="128">
        <v>0.69699999999999995</v>
      </c>
      <c r="D15" s="187">
        <f t="shared" ref="D15:D21" si="0">B15/C15</f>
        <v>717360114.77761841</v>
      </c>
      <c r="E15" t="s">
        <v>18</v>
      </c>
      <c r="F15" s="4" t="s">
        <v>20</v>
      </c>
    </row>
    <row r="16" spans="1:6">
      <c r="A16" s="179">
        <v>2010</v>
      </c>
      <c r="B16" s="185">
        <v>570000000</v>
      </c>
      <c r="C16" s="128">
        <v>0.74616300000000002</v>
      </c>
      <c r="D16" s="187">
        <f t="shared" si="0"/>
        <v>763908154.11645985</v>
      </c>
      <c r="E16" t="s">
        <v>15</v>
      </c>
      <c r="F16" s="4" t="s">
        <v>21</v>
      </c>
    </row>
    <row r="17" spans="1:6">
      <c r="A17" s="179">
        <v>2011</v>
      </c>
      <c r="B17" s="185">
        <v>950000000</v>
      </c>
      <c r="C17" s="128">
        <v>0.77166400000000002</v>
      </c>
      <c r="D17" s="187">
        <f t="shared" si="0"/>
        <v>1231105766.2402289</v>
      </c>
      <c r="E17" t="s">
        <v>13</v>
      </c>
      <c r="F17" s="4" t="s">
        <v>16</v>
      </c>
    </row>
    <row r="18" spans="1:6">
      <c r="A18" s="179">
        <v>2012</v>
      </c>
      <c r="B18" s="185">
        <v>534000000</v>
      </c>
      <c r="C18" s="128">
        <v>0.75845799999999997</v>
      </c>
      <c r="D18" s="187">
        <f t="shared" si="0"/>
        <v>704060079.79347575</v>
      </c>
      <c r="E18" t="s">
        <v>12</v>
      </c>
      <c r="F18" s="4"/>
    </row>
    <row r="19" spans="1:6">
      <c r="A19" s="179">
        <v>2013</v>
      </c>
      <c r="B19" s="185">
        <v>529000000</v>
      </c>
      <c r="C19" s="128">
        <v>0.72589300000000001</v>
      </c>
      <c r="D19" s="187">
        <f t="shared" si="0"/>
        <v>728757544.15595686</v>
      </c>
      <c r="E19" t="s">
        <v>10</v>
      </c>
      <c r="F19" s="4"/>
    </row>
    <row r="20" spans="1:6">
      <c r="A20" s="179">
        <v>2014</v>
      </c>
      <c r="B20" s="185">
        <v>578000000</v>
      </c>
      <c r="C20" s="128">
        <v>0.82574800000000004</v>
      </c>
      <c r="D20" s="187">
        <f t="shared" si="0"/>
        <v>699971419.85206139</v>
      </c>
      <c r="E20" t="s">
        <v>8</v>
      </c>
      <c r="F20" s="4" t="s">
        <v>19</v>
      </c>
    </row>
    <row r="21" spans="1:6">
      <c r="A21" s="179">
        <v>2015</v>
      </c>
      <c r="B21" s="185">
        <v>1024000000</v>
      </c>
      <c r="C21" s="128">
        <v>0.92093999999999998</v>
      </c>
      <c r="D21" s="187">
        <f t="shared" si="0"/>
        <v>1111907398.9619303</v>
      </c>
      <c r="E21" t="s">
        <v>80</v>
      </c>
      <c r="F21" s="4" t="s">
        <v>9</v>
      </c>
    </row>
    <row r="22" spans="1:6">
      <c r="A22" s="2"/>
    </row>
  </sheetData>
  <mergeCells count="1">
    <mergeCell ref="A8:E8"/>
  </mergeCells>
  <phoneticPr fontId="15" type="noConversion"/>
  <pageMargins left="0.7" right="0.7" top="0.75" bottom="0.75" header="0.3" footer="0.3"/>
  <pageSetup orientation="landscape"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23"/>
  <sheetViews>
    <sheetView showGridLines="0" view="pageLayout" workbookViewId="0">
      <selection activeCell="A8" sqref="A8"/>
    </sheetView>
  </sheetViews>
  <sheetFormatPr baseColWidth="10" defaultRowHeight="15" x14ac:dyDescent="0"/>
  <cols>
    <col min="2" max="2" width="16.33203125" bestFit="1" customWidth="1"/>
    <col min="3" max="3" width="14.5" customWidth="1"/>
    <col min="4" max="4" width="14.1640625" customWidth="1"/>
    <col min="5" max="5" width="52.5" customWidth="1"/>
    <col min="7" max="7" width="34.83203125" customWidth="1"/>
  </cols>
  <sheetData>
    <row r="2" spans="1:5">
      <c r="A2" s="246" t="s">
        <v>3052</v>
      </c>
    </row>
    <row r="3" spans="1:5" ht="18">
      <c r="A3" s="147" t="str">
        <f>CONCATENATE(VLOOKUP($A$2,'Table of Contents'!$B:$E,4,FALSE)," ",$A$2)</f>
        <v>2.3.1 Alcatel-Lucent (Nokia)</v>
      </c>
    </row>
    <row r="4" spans="1:5">
      <c r="A4" t="str">
        <f>VLOOKUP($A$2,'Table of Contents'!$B:$E,3,FALSE)</f>
        <v>Public Corp</v>
      </c>
    </row>
    <row r="5" spans="1:5">
      <c r="A5" s="148" t="str">
        <f>VLOOKUP($A$2,'Table of Contents'!$B:$E,2,FALSE)</f>
        <v>Confirmed</v>
      </c>
    </row>
    <row r="6" spans="1:5">
      <c r="A6" s="148"/>
    </row>
    <row r="7" spans="1:5" ht="32" customHeight="1">
      <c r="A7" s="378" t="s">
        <v>3480</v>
      </c>
      <c r="B7" s="378"/>
      <c r="C7" s="378"/>
      <c r="D7" s="378"/>
      <c r="E7" s="378"/>
    </row>
    <row r="9" spans="1:5" ht="51" customHeight="1">
      <c r="A9" s="169" t="s">
        <v>86</v>
      </c>
      <c r="B9" s="169" t="s">
        <v>3161</v>
      </c>
      <c r="C9" s="169" t="s">
        <v>3160</v>
      </c>
      <c r="D9" s="176" t="s">
        <v>3159</v>
      </c>
      <c r="E9" s="172" t="s">
        <v>6</v>
      </c>
    </row>
    <row r="10" spans="1:5">
      <c r="A10" s="128">
        <f t="shared" ref="A10:A21" si="0">A11-1</f>
        <v>2002</v>
      </c>
      <c r="B10" s="178"/>
      <c r="C10" s="128"/>
      <c r="D10" s="177" t="s">
        <v>11</v>
      </c>
    </row>
    <row r="11" spans="1:5">
      <c r="A11" s="128">
        <f t="shared" si="0"/>
        <v>2003</v>
      </c>
      <c r="B11" s="178"/>
      <c r="C11" s="128"/>
      <c r="D11" s="177" t="s">
        <v>11</v>
      </c>
    </row>
    <row r="12" spans="1:5">
      <c r="A12" s="128">
        <f t="shared" si="0"/>
        <v>2004</v>
      </c>
      <c r="B12" s="178"/>
      <c r="C12" s="128"/>
      <c r="D12" s="177" t="s">
        <v>11</v>
      </c>
    </row>
    <row r="13" spans="1:5">
      <c r="A13" s="128">
        <f t="shared" si="0"/>
        <v>2005</v>
      </c>
      <c r="B13" s="178"/>
      <c r="C13" s="128"/>
      <c r="D13" s="177" t="s">
        <v>11</v>
      </c>
    </row>
    <row r="14" spans="1:5">
      <c r="A14" s="128">
        <f t="shared" si="0"/>
        <v>2006</v>
      </c>
      <c r="B14" s="178"/>
      <c r="C14" s="128"/>
      <c r="D14" s="177" t="s">
        <v>11</v>
      </c>
    </row>
    <row r="15" spans="1:5">
      <c r="A15" s="128">
        <f t="shared" si="0"/>
        <v>2007</v>
      </c>
      <c r="B15" s="185">
        <v>139000000</v>
      </c>
      <c r="C15" s="181">
        <v>0.64910999999999996</v>
      </c>
      <c r="D15" s="187">
        <f t="shared" ref="D15:D22" si="1">B15/C15</f>
        <v>214139360.04683337</v>
      </c>
      <c r="E15" t="s">
        <v>3168</v>
      </c>
    </row>
    <row r="16" spans="1:5">
      <c r="A16" s="128">
        <f t="shared" si="0"/>
        <v>2008</v>
      </c>
      <c r="B16" s="185">
        <v>235000000</v>
      </c>
      <c r="C16" s="181">
        <v>0.71836800000000001</v>
      </c>
      <c r="D16" s="187">
        <f t="shared" si="1"/>
        <v>327130384.42692327</v>
      </c>
      <c r="E16" t="s">
        <v>3162</v>
      </c>
    </row>
    <row r="17" spans="1:7">
      <c r="A17" s="128">
        <f t="shared" si="0"/>
        <v>2009</v>
      </c>
      <c r="B17" s="185">
        <v>178000000</v>
      </c>
      <c r="C17" s="182">
        <v>0.69750000000000001</v>
      </c>
      <c r="D17" s="187">
        <f t="shared" si="1"/>
        <v>255197132.61648744</v>
      </c>
      <c r="E17" t="s">
        <v>3163</v>
      </c>
    </row>
    <row r="18" spans="1:7">
      <c r="A18" s="128">
        <f t="shared" si="0"/>
        <v>2010</v>
      </c>
      <c r="B18" s="185">
        <v>136000000</v>
      </c>
      <c r="C18" s="182">
        <v>0.74616300000000002</v>
      </c>
      <c r="D18" s="187">
        <f t="shared" si="1"/>
        <v>182265805.19269916</v>
      </c>
      <c r="E18" t="s">
        <v>3164</v>
      </c>
    </row>
    <row r="19" spans="1:7">
      <c r="A19" s="128">
        <f t="shared" si="0"/>
        <v>2011</v>
      </c>
      <c r="B19" s="185">
        <v>136000000</v>
      </c>
      <c r="C19" s="182">
        <v>0.77166400000000002</v>
      </c>
      <c r="D19" s="187">
        <f t="shared" si="1"/>
        <v>176242509.69333804</v>
      </c>
      <c r="E19" t="s">
        <v>3164</v>
      </c>
    </row>
    <row r="20" spans="1:7">
      <c r="A20" s="128">
        <f t="shared" si="0"/>
        <v>2012</v>
      </c>
      <c r="B20" s="185">
        <v>112000000</v>
      </c>
      <c r="C20" s="182">
        <v>0.75845799999999997</v>
      </c>
      <c r="D20" s="187">
        <f t="shared" si="1"/>
        <v>147668031.71698368</v>
      </c>
      <c r="E20" t="s">
        <v>3167</v>
      </c>
      <c r="F20" s="173"/>
      <c r="G20" s="167"/>
    </row>
    <row r="21" spans="1:7">
      <c r="A21" s="128">
        <f t="shared" si="0"/>
        <v>2013</v>
      </c>
      <c r="B21" s="185">
        <v>77000000</v>
      </c>
      <c r="C21" s="182">
        <v>0.72589300000000001</v>
      </c>
      <c r="D21" s="187">
        <f t="shared" si="1"/>
        <v>106076239.88659486</v>
      </c>
      <c r="E21" t="s">
        <v>3165</v>
      </c>
    </row>
    <row r="22" spans="1:7">
      <c r="A22" s="128">
        <f>A23-1</f>
        <v>2014</v>
      </c>
      <c r="B22" s="185">
        <v>55000000</v>
      </c>
      <c r="C22" s="182">
        <v>0.82574800000000004</v>
      </c>
      <c r="D22" s="187">
        <f t="shared" si="1"/>
        <v>66606276.975542173</v>
      </c>
      <c r="E22" t="s">
        <v>3166</v>
      </c>
    </row>
    <row r="23" spans="1:7">
      <c r="A23" s="128">
        <v>2015</v>
      </c>
      <c r="B23" s="185">
        <v>56000000</v>
      </c>
      <c r="C23" s="182">
        <v>0.92093999999999998</v>
      </c>
      <c r="D23" s="187">
        <f>B23/C23</f>
        <v>60807435.880730562</v>
      </c>
      <c r="E23" t="s">
        <v>3166</v>
      </c>
    </row>
  </sheetData>
  <mergeCells count="1">
    <mergeCell ref="A7:E7"/>
  </mergeCells>
  <phoneticPr fontId="15" type="noConversion"/>
  <pageMargins left="0.7" right="0.7" top="0.75" bottom="0.75" header="0.3" footer="0.3"/>
  <pageSetup orientation="landscape"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26"/>
  <sheetViews>
    <sheetView showGridLines="0" view="pageLayout" workbookViewId="0">
      <selection activeCell="O10" sqref="O10"/>
    </sheetView>
  </sheetViews>
  <sheetFormatPr baseColWidth="10" defaultRowHeight="15" x14ac:dyDescent="0"/>
  <cols>
    <col min="1" max="1" width="10.33203125" customWidth="1"/>
    <col min="2" max="4" width="16" bestFit="1" customWidth="1"/>
    <col min="5" max="6" width="15.33203125" customWidth="1"/>
    <col min="7" max="7" width="17.33203125" customWidth="1"/>
    <col min="18" max="18" width="16.1640625" customWidth="1"/>
    <col min="19" max="19" width="15.33203125" bestFit="1" customWidth="1"/>
  </cols>
  <sheetData>
    <row r="2" spans="1:8">
      <c r="A2" s="246" t="s">
        <v>2879</v>
      </c>
    </row>
    <row r="3" spans="1:8" ht="18">
      <c r="A3" s="147" t="str">
        <f>CONCATENATE(VLOOKUP($A$2,'Table of Contents'!$B:$E,4,FALSE)," ",$A$2)</f>
        <v>2.4 Interdigital</v>
      </c>
    </row>
    <row r="4" spans="1:8">
      <c r="A4" t="str">
        <f>VLOOKUP($A$2,'Table of Contents'!$B:$E,3,FALSE)</f>
        <v>Public Corp</v>
      </c>
    </row>
    <row r="5" spans="1:8">
      <c r="A5" s="148" t="str">
        <f>VLOOKUP($A$2,'Table of Contents'!$B:$E,2,FALSE)</f>
        <v>Confirmed</v>
      </c>
    </row>
    <row r="7" spans="1:8" ht="31" customHeight="1">
      <c r="A7" s="392" t="s">
        <v>3481</v>
      </c>
      <c r="B7" s="392"/>
      <c r="C7" s="392"/>
      <c r="D7" s="392"/>
      <c r="E7" s="392"/>
      <c r="F7" s="392"/>
      <c r="G7" s="392"/>
    </row>
    <row r="9" spans="1:8" ht="45">
      <c r="A9" s="169" t="s">
        <v>81</v>
      </c>
      <c r="B9" s="169" t="s">
        <v>3176</v>
      </c>
      <c r="C9" s="169" t="s">
        <v>3173</v>
      </c>
      <c r="D9" s="169" t="s">
        <v>3149</v>
      </c>
      <c r="E9" s="176" t="s">
        <v>3174</v>
      </c>
      <c r="F9" s="169" t="s">
        <v>3175</v>
      </c>
      <c r="G9" s="169" t="s">
        <v>2</v>
      </c>
      <c r="H9" s="172" t="s">
        <v>6</v>
      </c>
    </row>
    <row r="10" spans="1:8">
      <c r="A10" s="128">
        <v>2004</v>
      </c>
      <c r="B10" s="186">
        <v>103700000</v>
      </c>
      <c r="C10" s="186">
        <v>103400000</v>
      </c>
      <c r="D10" s="186">
        <v>0</v>
      </c>
      <c r="E10" s="187">
        <f t="shared" ref="E10:E21" si="0">SUM(C10:D10)</f>
        <v>103400000</v>
      </c>
      <c r="F10" s="186">
        <v>300000</v>
      </c>
      <c r="H10" s="173" t="s">
        <v>3150</v>
      </c>
    </row>
    <row r="11" spans="1:8">
      <c r="A11" s="128">
        <f t="shared" ref="A11:A21" si="1">A10+1</f>
        <v>2005</v>
      </c>
      <c r="B11" s="186">
        <v>163100000</v>
      </c>
      <c r="C11" s="186">
        <v>144100000</v>
      </c>
      <c r="D11" s="186">
        <v>0</v>
      </c>
      <c r="E11" s="187">
        <f t="shared" si="0"/>
        <v>144100000</v>
      </c>
      <c r="F11" s="186">
        <v>19000000</v>
      </c>
      <c r="G11" s="1"/>
      <c r="H11" s="173" t="s">
        <v>3151</v>
      </c>
    </row>
    <row r="12" spans="1:8">
      <c r="A12" s="128">
        <f t="shared" si="1"/>
        <v>2006</v>
      </c>
      <c r="B12" s="186">
        <v>480500000</v>
      </c>
      <c r="C12" s="186">
        <v>473600000</v>
      </c>
      <c r="D12" s="186">
        <v>0</v>
      </c>
      <c r="E12" s="187">
        <f t="shared" si="0"/>
        <v>473600000</v>
      </c>
      <c r="F12" s="186">
        <v>6900000</v>
      </c>
      <c r="G12" s="1" t="s">
        <v>4</v>
      </c>
      <c r="H12" s="173" t="s">
        <v>3152</v>
      </c>
    </row>
    <row r="13" spans="1:8">
      <c r="A13" s="128">
        <f t="shared" si="1"/>
        <v>2007</v>
      </c>
      <c r="B13" s="186">
        <v>234232000</v>
      </c>
      <c r="C13" s="186">
        <v>230800000</v>
      </c>
      <c r="D13" s="186">
        <v>0</v>
      </c>
      <c r="E13" s="187">
        <f t="shared" si="0"/>
        <v>230800000</v>
      </c>
      <c r="F13" s="186">
        <v>3400000</v>
      </c>
      <c r="G13" s="1"/>
      <c r="H13" s="173" t="s">
        <v>3153</v>
      </c>
    </row>
    <row r="14" spans="1:8">
      <c r="A14" s="128">
        <f t="shared" si="1"/>
        <v>2008</v>
      </c>
      <c r="B14" s="186">
        <v>228484000</v>
      </c>
      <c r="C14" s="186">
        <v>216500000</v>
      </c>
      <c r="D14" s="186">
        <v>0</v>
      </c>
      <c r="E14" s="187">
        <f t="shared" si="0"/>
        <v>216500000</v>
      </c>
      <c r="F14" s="186">
        <v>12000000</v>
      </c>
      <c r="G14" s="1"/>
      <c r="H14" s="173" t="s">
        <v>3153</v>
      </c>
    </row>
    <row r="15" spans="1:8">
      <c r="A15" s="128">
        <f t="shared" si="1"/>
        <v>2009</v>
      </c>
      <c r="B15" s="186">
        <v>297400000</v>
      </c>
      <c r="C15" s="186">
        <v>287600000</v>
      </c>
      <c r="D15" s="186">
        <v>0</v>
      </c>
      <c r="E15" s="187">
        <f t="shared" si="0"/>
        <v>287600000</v>
      </c>
      <c r="F15" s="186">
        <v>9800000</v>
      </c>
      <c r="G15" s="1"/>
      <c r="H15" s="173" t="s">
        <v>3154</v>
      </c>
    </row>
    <row r="16" spans="1:8">
      <c r="A16" s="128">
        <f t="shared" si="1"/>
        <v>2010</v>
      </c>
      <c r="B16" s="186">
        <v>394545000</v>
      </c>
      <c r="C16" s="186">
        <v>370231000</v>
      </c>
      <c r="D16" s="186">
        <v>0</v>
      </c>
      <c r="E16" s="187">
        <f t="shared" si="0"/>
        <v>370231000</v>
      </c>
      <c r="F16" s="186">
        <v>24314000</v>
      </c>
      <c r="G16" s="1"/>
      <c r="H16" s="173" t="s">
        <v>3155</v>
      </c>
    </row>
    <row r="17" spans="1:8">
      <c r="A17" s="128">
        <f t="shared" si="1"/>
        <v>2011</v>
      </c>
      <c r="B17" s="186">
        <v>301742000</v>
      </c>
      <c r="C17" s="186">
        <v>295372000</v>
      </c>
      <c r="D17" s="186">
        <v>0</v>
      </c>
      <c r="E17" s="187">
        <f t="shared" si="0"/>
        <v>295372000</v>
      </c>
      <c r="F17" s="186">
        <v>6370000</v>
      </c>
      <c r="G17" s="1"/>
      <c r="H17" s="173" t="s">
        <v>3156</v>
      </c>
    </row>
    <row r="18" spans="1:8">
      <c r="A18" s="128">
        <f t="shared" si="1"/>
        <v>2012</v>
      </c>
      <c r="B18" s="186">
        <v>663063000</v>
      </c>
      <c r="C18" s="186">
        <v>276547000</v>
      </c>
      <c r="D18" s="186">
        <v>384000000</v>
      </c>
      <c r="E18" s="187">
        <f t="shared" si="0"/>
        <v>660547000</v>
      </c>
      <c r="F18" s="186">
        <v>2516000</v>
      </c>
      <c r="G18" s="1" t="s">
        <v>3</v>
      </c>
      <c r="H18" s="173" t="s">
        <v>3156</v>
      </c>
    </row>
    <row r="19" spans="1:8">
      <c r="A19" s="128">
        <f t="shared" si="1"/>
        <v>2013</v>
      </c>
      <c r="B19" s="186">
        <v>325361000</v>
      </c>
      <c r="C19" s="186">
        <v>264174000</v>
      </c>
      <c r="D19" s="186">
        <v>0</v>
      </c>
      <c r="E19" s="187">
        <f t="shared" si="0"/>
        <v>264174000</v>
      </c>
      <c r="F19" s="186">
        <v>61187000</v>
      </c>
      <c r="G19" s="1"/>
      <c r="H19" s="173" t="s">
        <v>3157</v>
      </c>
    </row>
    <row r="20" spans="1:8">
      <c r="A20" s="128">
        <f t="shared" si="1"/>
        <v>2014</v>
      </c>
      <c r="B20" s="186">
        <v>415821000</v>
      </c>
      <c r="C20" s="186">
        <v>403389000</v>
      </c>
      <c r="D20" s="186">
        <v>1999000</v>
      </c>
      <c r="E20" s="187">
        <f t="shared" si="0"/>
        <v>405388000</v>
      </c>
      <c r="F20" s="186">
        <v>10433000</v>
      </c>
      <c r="G20" s="1"/>
      <c r="H20" s="173" t="s">
        <v>3157</v>
      </c>
    </row>
    <row r="21" spans="1:8">
      <c r="A21" s="128">
        <f t="shared" si="1"/>
        <v>2015</v>
      </c>
      <c r="B21" s="186">
        <v>441435000</v>
      </c>
      <c r="C21" s="186">
        <v>432488000</v>
      </c>
      <c r="D21" s="186">
        <v>0</v>
      </c>
      <c r="E21" s="187">
        <f t="shared" si="0"/>
        <v>432488000</v>
      </c>
      <c r="F21" s="186">
        <v>8947000</v>
      </c>
      <c r="G21" s="1"/>
      <c r="H21" s="173" t="s">
        <v>3158</v>
      </c>
    </row>
    <row r="23" spans="1:8">
      <c r="A23" s="383" t="s">
        <v>3347</v>
      </c>
      <c r="B23" s="383"/>
      <c r="C23" s="383"/>
      <c r="D23" s="383"/>
      <c r="E23" s="383"/>
      <c r="F23" s="383"/>
      <c r="G23" s="383"/>
    </row>
    <row r="24" spans="1:8">
      <c r="A24" s="383"/>
      <c r="B24" s="383"/>
      <c r="C24" s="383"/>
      <c r="D24" s="383"/>
      <c r="E24" s="383"/>
      <c r="F24" s="383"/>
      <c r="G24" s="383"/>
    </row>
    <row r="25" spans="1:8">
      <c r="A25" s="383"/>
      <c r="B25" s="383"/>
      <c r="C25" s="383"/>
      <c r="D25" s="383"/>
      <c r="E25" s="383"/>
      <c r="F25" s="383"/>
      <c r="G25" s="383"/>
    </row>
    <row r="26" spans="1:8">
      <c r="A26" s="383"/>
      <c r="B26" s="383"/>
      <c r="C26" s="383"/>
      <c r="D26" s="383"/>
      <c r="E26" s="383"/>
      <c r="F26" s="383"/>
      <c r="G26" s="383"/>
    </row>
  </sheetData>
  <mergeCells count="2">
    <mergeCell ref="A23:G26"/>
    <mergeCell ref="A7:G7"/>
  </mergeCells>
  <phoneticPr fontId="15" type="noConversion"/>
  <pageMargins left="0.7" right="0.7" top="0.75" bottom="0.75" header="0.3" footer="0.3"/>
  <pageSetup orientation="landscape"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colBreaks count="1" manualBreakCount="1">
    <brk id="7" max="1048575" man="1"/>
  </colBreaks>
  <extLst>
    <ext xmlns:mx="http://schemas.microsoft.com/office/mac/excel/2008/main" uri="{64002731-A6B0-56B0-2670-7721B7C09600}">
      <mx:PLV Mode="1" OnePage="0" WScale="10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showGridLines="0" view="pageLayout" workbookViewId="0">
      <selection activeCell="A12" sqref="A12"/>
    </sheetView>
  </sheetViews>
  <sheetFormatPr baseColWidth="10" defaultRowHeight="15" x14ac:dyDescent="0"/>
  <cols>
    <col min="1" max="1" width="75.5" customWidth="1"/>
  </cols>
  <sheetData>
    <row r="1" spans="1:1">
      <c r="A1" t="s">
        <v>3001</v>
      </c>
    </row>
    <row r="3" spans="1:1">
      <c r="A3" s="139" t="s">
        <v>3002</v>
      </c>
    </row>
    <row r="4" spans="1:1">
      <c r="A4" s="139" t="s">
        <v>3527</v>
      </c>
    </row>
  </sheetData>
  <phoneticPr fontId="15" type="noConversion"/>
  <pageMargins left="0.7" right="0.7" top="0.75" bottom="0.75" header="0.3" footer="0.3"/>
  <pageSetup orientation="portrait" horizontalDpi="4294967292" verticalDpi="4294967292"/>
  <headerFooter>
    <oddHeader>&amp;C&amp;"-,Bold"&amp;A</oddHeader>
    <oddFooter>&amp;C&amp;P of &amp;N</oddFooter>
  </headerFooter>
  <extLst>
    <ext xmlns:mx="http://schemas.microsoft.com/office/mac/excel/2008/main" uri="{64002731-A6B0-56B0-2670-7721B7C09600}">
      <mx:PLV Mode="1" OnePage="0" WScale="100"/>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EA27"/>
  <sheetViews>
    <sheetView showGridLines="0" view="pageLayout" workbookViewId="0">
      <selection activeCell="B10" sqref="B10"/>
    </sheetView>
  </sheetViews>
  <sheetFormatPr baseColWidth="10" defaultRowHeight="15" x14ac:dyDescent="0"/>
  <cols>
    <col min="1" max="1" width="9.83203125" customWidth="1"/>
    <col min="2" max="2" width="17" customWidth="1"/>
    <col min="3" max="4" width="28.33203125" customWidth="1"/>
    <col min="14" max="16" width="11.33203125" bestFit="1" customWidth="1"/>
    <col min="19" max="19" width="14.83203125" bestFit="1" customWidth="1"/>
    <col min="20" max="20" width="13.5" customWidth="1"/>
  </cols>
  <sheetData>
    <row r="2" spans="1:131">
      <c r="A2" s="246" t="s">
        <v>123</v>
      </c>
    </row>
    <row r="3" spans="1:131" ht="18">
      <c r="A3" s="147" t="str">
        <f>CONCATENATE(VLOOKUP($A$2,'Table of Contents'!$B:$E,4,FALSE)," ",$A$2)</f>
        <v>2.5 Microsoft</v>
      </c>
    </row>
    <row r="4" spans="1:131">
      <c r="A4" t="str">
        <f>VLOOKUP($A$2,'Table of Contents'!$B:$E,3,FALSE)</f>
        <v>Public Corp</v>
      </c>
    </row>
    <row r="5" spans="1:131">
      <c r="A5" s="148" t="str">
        <f>VLOOKUP($A$2,'Table of Contents'!$B:$E,2,FALSE)</f>
        <v>Documented</v>
      </c>
    </row>
    <row r="7" spans="1:131" ht="50" customHeight="1">
      <c r="A7" s="383" t="s">
        <v>3483</v>
      </c>
      <c r="B7" s="383"/>
      <c r="C7" s="383"/>
      <c r="D7" s="383"/>
      <c r="E7" s="383"/>
      <c r="F7" s="383"/>
    </row>
    <row r="9" spans="1:131">
      <c r="A9" t="s">
        <v>3482</v>
      </c>
    </row>
    <row r="11" spans="1:131" ht="30">
      <c r="A11" s="169" t="s">
        <v>84</v>
      </c>
      <c r="B11" s="160" t="s">
        <v>2776</v>
      </c>
      <c r="C11" s="160" t="s">
        <v>6</v>
      </c>
      <c r="D11" s="160" t="s">
        <v>2</v>
      </c>
    </row>
    <row r="12" spans="1:131">
      <c r="A12" s="128"/>
    </row>
    <row r="13" spans="1:131">
      <c r="A13" s="128">
        <f t="shared" ref="A13:A17" si="0">A14-1</f>
        <v>2009</v>
      </c>
      <c r="D13" s="394" t="s">
        <v>3236</v>
      </c>
      <c r="E13" s="394"/>
      <c r="F13" s="394"/>
      <c r="G13" s="394"/>
      <c r="H13" s="394"/>
      <c r="I13" s="394"/>
      <c r="J13" s="394"/>
      <c r="K13" s="394"/>
      <c r="L13" s="394"/>
      <c r="M13" s="394"/>
      <c r="N13" s="394"/>
      <c r="O13" s="394"/>
      <c r="P13" s="394"/>
      <c r="Q13" s="394"/>
      <c r="R13" s="394"/>
      <c r="S13" s="394"/>
      <c r="T13" s="394"/>
      <c r="U13" s="394"/>
      <c r="V13" s="394"/>
      <c r="W13" s="394"/>
      <c r="X13" s="394"/>
      <c r="Y13" s="394"/>
      <c r="Z13" s="394"/>
      <c r="AA13" s="394"/>
      <c r="AB13" s="394"/>
      <c r="AC13" s="394"/>
    </row>
    <row r="14" spans="1:131">
      <c r="A14" s="128">
        <f t="shared" si="0"/>
        <v>2010</v>
      </c>
      <c r="D14" s="394"/>
      <c r="E14" s="394"/>
      <c r="F14" s="394"/>
      <c r="G14" s="394"/>
      <c r="H14" s="394"/>
      <c r="I14" s="394"/>
      <c r="J14" s="394"/>
      <c r="K14" s="394"/>
      <c r="L14" s="394"/>
      <c r="M14" s="394"/>
      <c r="N14" s="394"/>
      <c r="O14" s="394"/>
      <c r="P14" s="394"/>
      <c r="Q14" s="394"/>
      <c r="R14" s="394"/>
      <c r="S14" s="394"/>
      <c r="T14" s="394"/>
      <c r="U14" s="394"/>
      <c r="V14" s="394"/>
      <c r="W14" s="394"/>
      <c r="X14" s="394"/>
      <c r="Y14" s="394"/>
      <c r="Z14" s="394"/>
      <c r="AA14" s="394"/>
      <c r="AB14" s="394"/>
      <c r="AC14" s="394"/>
      <c r="AD14" s="394"/>
      <c r="AE14" s="394"/>
      <c r="AF14" s="394"/>
      <c r="AG14" s="394"/>
      <c r="AH14" s="394"/>
      <c r="AI14" s="394"/>
      <c r="AJ14" s="394"/>
      <c r="AK14" s="394"/>
      <c r="AL14" s="394"/>
      <c r="AM14" s="394"/>
      <c r="AN14" s="394"/>
      <c r="AO14" s="394"/>
      <c r="AP14" s="394"/>
      <c r="AQ14" s="394"/>
      <c r="AR14" s="394"/>
      <c r="AS14" s="394"/>
      <c r="AT14" s="394"/>
      <c r="AU14" s="394"/>
      <c r="AV14" s="394"/>
      <c r="AW14" s="394"/>
      <c r="AX14" s="394"/>
      <c r="AY14" s="394"/>
      <c r="AZ14" s="394"/>
      <c r="BA14" s="394"/>
      <c r="BB14" s="394"/>
      <c r="BC14" s="394"/>
      <c r="BD14" s="394"/>
      <c r="BE14" s="394"/>
      <c r="BF14" s="394"/>
      <c r="BG14" s="394"/>
      <c r="BH14" s="394"/>
      <c r="BI14" s="394"/>
      <c r="BJ14" s="394"/>
      <c r="BK14" s="394"/>
      <c r="BL14" s="394"/>
      <c r="BM14" s="394"/>
      <c r="BN14" s="394"/>
      <c r="BO14" s="394"/>
      <c r="BP14" s="394"/>
      <c r="BQ14" s="394"/>
      <c r="BR14" s="394"/>
      <c r="BS14" s="394"/>
      <c r="BT14" s="394"/>
      <c r="BU14" s="394"/>
      <c r="BV14" s="394"/>
      <c r="BW14" s="394"/>
      <c r="BX14" s="394"/>
      <c r="BY14" s="394"/>
      <c r="BZ14" s="394"/>
      <c r="CA14" s="394"/>
      <c r="CB14" s="394"/>
      <c r="CC14" s="394"/>
      <c r="CD14" s="394"/>
      <c r="CE14" s="394"/>
      <c r="CF14" s="394"/>
      <c r="CG14" s="394"/>
      <c r="CH14" s="394"/>
      <c r="CI14" s="394"/>
      <c r="CJ14" s="394"/>
      <c r="CK14" s="394"/>
      <c r="CL14" s="394"/>
      <c r="CM14" s="394"/>
      <c r="CN14" s="394"/>
      <c r="CO14" s="394"/>
      <c r="CP14" s="394"/>
      <c r="CQ14" s="394"/>
      <c r="CR14" s="394"/>
      <c r="CS14" s="394"/>
      <c r="CT14" s="394"/>
      <c r="CU14" s="394"/>
      <c r="CV14" s="394"/>
      <c r="CW14" s="394"/>
      <c r="CX14" s="394"/>
      <c r="CY14" s="394"/>
      <c r="CZ14" s="394"/>
      <c r="DA14" s="394"/>
      <c r="DB14" s="394"/>
      <c r="DC14" s="394"/>
      <c r="DD14" s="394"/>
      <c r="DE14" s="394"/>
      <c r="DF14" s="394"/>
      <c r="DG14" s="394"/>
      <c r="DH14" s="394"/>
      <c r="DI14" s="394"/>
      <c r="DJ14" s="394"/>
      <c r="DK14" s="394"/>
      <c r="DL14" s="394"/>
      <c r="DM14" s="394"/>
      <c r="DN14" s="394"/>
      <c r="DO14" s="394"/>
      <c r="DP14" s="394"/>
      <c r="DQ14" s="394"/>
      <c r="DR14" s="394"/>
      <c r="DS14" s="394"/>
      <c r="DT14" s="394"/>
      <c r="DU14" s="394"/>
      <c r="DV14" s="394"/>
      <c r="DW14" s="394"/>
      <c r="DX14" s="394"/>
      <c r="DY14" s="394"/>
      <c r="DZ14" s="394"/>
      <c r="EA14" s="394"/>
    </row>
    <row r="15" spans="1:131">
      <c r="A15" s="128">
        <f t="shared" si="0"/>
        <v>2011</v>
      </c>
      <c r="B15" s="308">
        <f>B16*0.44</f>
        <v>225500000</v>
      </c>
      <c r="C15" s="6" t="s">
        <v>79</v>
      </c>
      <c r="D15" s="378" t="s">
        <v>3238</v>
      </c>
      <c r="E15" s="394"/>
      <c r="F15" s="394"/>
      <c r="G15" s="394"/>
      <c r="H15" s="394"/>
      <c r="I15" s="394"/>
      <c r="J15" s="394"/>
      <c r="K15" s="394"/>
      <c r="L15" s="394"/>
      <c r="M15" s="394"/>
      <c r="N15" s="394"/>
      <c r="O15" s="394"/>
      <c r="P15" s="394"/>
      <c r="Q15" s="394"/>
      <c r="R15" s="394"/>
      <c r="S15" s="394"/>
      <c r="T15" s="394"/>
      <c r="U15" s="394"/>
      <c r="V15" s="394"/>
      <c r="W15" s="394"/>
      <c r="X15" s="394"/>
      <c r="Y15" s="394"/>
      <c r="Z15" s="394"/>
      <c r="AA15" s="394"/>
      <c r="AB15" s="394"/>
      <c r="AC15" s="394"/>
      <c r="AD15" s="394"/>
      <c r="AE15" s="394"/>
      <c r="AF15" s="394"/>
      <c r="AG15" s="394"/>
      <c r="AH15" s="394"/>
      <c r="AI15" s="394"/>
      <c r="AJ15" s="394"/>
      <c r="AK15" s="394"/>
      <c r="AL15" s="394"/>
      <c r="AM15" s="394"/>
      <c r="AN15" s="394"/>
      <c r="AO15" s="394"/>
      <c r="AP15" s="394"/>
      <c r="AQ15" s="394"/>
      <c r="AR15" s="394"/>
      <c r="AS15" s="394"/>
      <c r="AT15" s="394"/>
      <c r="AU15" s="394"/>
      <c r="AV15" s="394"/>
      <c r="AW15" s="394"/>
      <c r="AX15" s="394"/>
      <c r="AY15" s="394"/>
      <c r="AZ15" s="394"/>
      <c r="BA15" s="394"/>
      <c r="BB15" s="394"/>
      <c r="BC15" s="394"/>
      <c r="BD15" s="394"/>
      <c r="BE15" s="394"/>
      <c r="BF15" s="394"/>
      <c r="BG15" s="394"/>
      <c r="BH15" s="394"/>
      <c r="BI15" s="394"/>
      <c r="BJ15" s="394"/>
      <c r="BK15" s="394"/>
      <c r="BL15" s="394"/>
      <c r="BM15" s="394"/>
      <c r="BN15" s="394"/>
      <c r="BO15" s="394"/>
      <c r="BP15" s="394"/>
    </row>
    <row r="16" spans="1:131">
      <c r="A16" s="128">
        <f t="shared" si="0"/>
        <v>2012</v>
      </c>
      <c r="B16" s="308">
        <f>B17-1200000000</f>
        <v>512500000</v>
      </c>
      <c r="C16" t="s">
        <v>78</v>
      </c>
      <c r="D16" s="394" t="s">
        <v>155</v>
      </c>
      <c r="E16" s="394"/>
      <c r="F16" s="394"/>
      <c r="G16" s="394"/>
      <c r="H16" s="394"/>
      <c r="I16" s="394"/>
      <c r="J16" s="394"/>
      <c r="K16" s="394"/>
      <c r="L16" s="394"/>
      <c r="M16" s="394"/>
      <c r="N16" s="394"/>
      <c r="O16" s="394"/>
      <c r="P16" s="394"/>
      <c r="Q16" s="394"/>
      <c r="R16" s="394"/>
      <c r="S16" s="394"/>
      <c r="T16" s="394"/>
      <c r="U16" s="394"/>
      <c r="V16" s="394"/>
      <c r="W16" s="394"/>
      <c r="X16" s="394"/>
      <c r="Y16" s="394"/>
      <c r="Z16" s="394"/>
      <c r="AA16" s="394"/>
      <c r="AB16" s="394"/>
      <c r="AC16" s="394"/>
      <c r="AD16" s="394"/>
      <c r="AE16" s="394"/>
      <c r="AF16" s="394"/>
      <c r="AG16" s="394"/>
      <c r="AH16" s="394"/>
      <c r="AI16" s="394"/>
      <c r="AJ16" s="394"/>
      <c r="AK16" s="394"/>
      <c r="AL16" s="394"/>
      <c r="AM16" s="394"/>
      <c r="AN16" s="394"/>
      <c r="AO16" s="394"/>
      <c r="AP16" s="394"/>
      <c r="AQ16" s="394"/>
      <c r="AR16" s="394"/>
      <c r="AS16" s="394"/>
      <c r="AT16" s="394"/>
      <c r="AU16" s="394"/>
      <c r="AV16" s="394"/>
      <c r="AW16" s="394"/>
      <c r="AX16" s="394"/>
      <c r="AY16" s="394"/>
      <c r="AZ16" s="394"/>
      <c r="BA16" s="394"/>
      <c r="BB16" s="394"/>
      <c r="BC16" s="394"/>
      <c r="BD16" s="394"/>
      <c r="BE16" s="394"/>
      <c r="BF16" s="394"/>
      <c r="BG16" s="394"/>
      <c r="BH16" s="394"/>
      <c r="BI16" s="394"/>
    </row>
    <row r="17" spans="1:87">
      <c r="A17" s="128">
        <f t="shared" si="0"/>
        <v>2013</v>
      </c>
      <c r="B17" s="308">
        <f>822000000/0.48</f>
        <v>1712500000</v>
      </c>
      <c r="C17" t="s">
        <v>75</v>
      </c>
      <c r="D17" s="394" t="s">
        <v>77</v>
      </c>
      <c r="E17" s="394"/>
      <c r="F17" s="394"/>
      <c r="G17" s="394"/>
      <c r="H17" s="394"/>
      <c r="I17" s="394"/>
      <c r="J17" s="394"/>
      <c r="K17" s="394"/>
      <c r="L17" s="394"/>
      <c r="M17" s="394"/>
      <c r="N17" s="394"/>
      <c r="O17" s="394"/>
      <c r="P17" s="394"/>
      <c r="Q17" s="394"/>
      <c r="R17" s="394"/>
      <c r="S17" s="394"/>
      <c r="T17" s="394"/>
      <c r="U17" s="394"/>
      <c r="V17" s="394"/>
      <c r="W17" s="394"/>
      <c r="X17" s="394"/>
      <c r="Y17" s="394"/>
      <c r="Z17" s="394"/>
      <c r="AA17" s="394"/>
      <c r="AB17" s="394"/>
      <c r="AC17" s="394"/>
      <c r="AD17" s="394"/>
      <c r="AE17" s="394"/>
      <c r="AF17" s="394"/>
      <c r="AG17" s="394"/>
      <c r="AH17" s="394"/>
      <c r="AI17" s="394"/>
      <c r="AJ17" s="394"/>
      <c r="AK17" s="394"/>
      <c r="AL17" s="394"/>
      <c r="AM17" s="394"/>
      <c r="AN17" s="394"/>
      <c r="AO17" s="394"/>
      <c r="AP17" s="394"/>
      <c r="AQ17" s="394"/>
      <c r="AR17" s="394"/>
      <c r="AS17" s="394"/>
      <c r="AT17" s="394"/>
      <c r="AU17" s="394"/>
      <c r="AV17" s="394"/>
      <c r="AW17" s="394"/>
      <c r="AX17" s="394"/>
      <c r="AY17" s="394"/>
      <c r="AZ17" s="394"/>
      <c r="BA17" s="394"/>
      <c r="BB17" s="394"/>
      <c r="BC17" s="394"/>
      <c r="BD17" s="394"/>
      <c r="BE17" s="394"/>
      <c r="BF17" s="394"/>
      <c r="BG17" s="394"/>
      <c r="BH17" s="394"/>
      <c r="BI17" s="394"/>
      <c r="BJ17" s="394"/>
      <c r="BK17" s="394"/>
      <c r="BL17" s="394"/>
      <c r="BM17" s="394"/>
      <c r="BN17" s="394"/>
      <c r="BO17" s="394"/>
      <c r="BP17" s="394"/>
      <c r="BQ17" s="394"/>
      <c r="BR17" s="394"/>
      <c r="BS17" s="394"/>
      <c r="BT17" s="394"/>
      <c r="BU17" s="394"/>
      <c r="BV17" s="394"/>
      <c r="BW17" s="394"/>
      <c r="BX17" s="394"/>
      <c r="BY17" s="394"/>
      <c r="BZ17" s="394"/>
      <c r="CA17" s="394"/>
      <c r="CB17" s="394"/>
      <c r="CC17" s="394"/>
      <c r="CD17" s="394"/>
      <c r="CE17" s="394"/>
      <c r="CF17" s="394"/>
      <c r="CG17" s="394"/>
      <c r="CH17" s="394"/>
      <c r="CI17" s="394"/>
    </row>
    <row r="18" spans="1:87">
      <c r="A18" s="128">
        <f>A19-1</f>
        <v>2014</v>
      </c>
      <c r="B18" s="308">
        <f>B17+822000000</f>
        <v>2534500000</v>
      </c>
      <c r="C18" t="s">
        <v>74</v>
      </c>
      <c r="D18" s="393" t="s">
        <v>76</v>
      </c>
      <c r="E18" s="394"/>
      <c r="F18" s="394"/>
      <c r="G18" s="394"/>
      <c r="H18" s="394"/>
      <c r="I18" s="394"/>
      <c r="J18" s="394"/>
      <c r="K18" s="394"/>
      <c r="L18" s="394"/>
      <c r="M18" s="394"/>
      <c r="N18" s="394"/>
      <c r="O18" s="394"/>
      <c r="P18" s="394"/>
      <c r="Q18" s="394"/>
      <c r="R18" s="394"/>
      <c r="S18" s="394"/>
      <c r="T18" s="394"/>
      <c r="U18" s="394"/>
      <c r="V18" s="394"/>
      <c r="W18" s="394"/>
      <c r="X18" s="394"/>
      <c r="Y18" s="394"/>
      <c r="Z18" s="394"/>
      <c r="AA18" s="394"/>
      <c r="AB18" s="394"/>
      <c r="AC18" s="394"/>
      <c r="AD18" s="394"/>
      <c r="AE18" s="394"/>
      <c r="AF18" s="394"/>
      <c r="AG18" s="394"/>
      <c r="AH18" s="394"/>
      <c r="AI18" s="394"/>
      <c r="AJ18" s="394"/>
    </row>
    <row r="19" spans="1:87">
      <c r="A19" s="128">
        <v>2015</v>
      </c>
      <c r="B19" s="308">
        <f>B18-1400000000</f>
        <v>1134500000</v>
      </c>
      <c r="C19" t="s">
        <v>74</v>
      </c>
      <c r="D19" s="393" t="s">
        <v>76</v>
      </c>
      <c r="E19" s="394"/>
      <c r="F19" s="394"/>
      <c r="G19" s="394"/>
      <c r="H19" s="394"/>
      <c r="I19" s="394"/>
      <c r="J19" s="394"/>
      <c r="K19" s="394"/>
      <c r="L19" s="394"/>
      <c r="M19" s="394"/>
      <c r="N19" s="394"/>
      <c r="O19" s="394"/>
      <c r="P19" s="394"/>
      <c r="Q19" s="394"/>
      <c r="R19" s="394"/>
      <c r="S19" s="394"/>
      <c r="T19" s="394"/>
      <c r="U19" s="394"/>
      <c r="V19" s="394"/>
      <c r="W19" s="394"/>
      <c r="X19" s="394"/>
      <c r="Y19" s="394"/>
      <c r="Z19" s="394"/>
      <c r="AA19" s="394"/>
      <c r="AB19" s="394"/>
      <c r="AC19" s="394"/>
      <c r="AD19" s="394"/>
      <c r="AE19" s="394"/>
      <c r="AF19" s="394"/>
      <c r="AG19" s="394"/>
      <c r="AH19" s="394"/>
      <c r="AI19" s="394"/>
      <c r="AJ19" s="394"/>
      <c r="AK19" s="394"/>
      <c r="AL19" s="394"/>
      <c r="AM19" s="394"/>
      <c r="AN19" s="394"/>
      <c r="AO19" s="394"/>
    </row>
    <row r="21" spans="1:87">
      <c r="B21" t="s">
        <v>3231</v>
      </c>
    </row>
    <row r="22" spans="1:87">
      <c r="B22" s="35" t="s">
        <v>3234</v>
      </c>
    </row>
    <row r="23" spans="1:87">
      <c r="A23" s="213"/>
      <c r="B23" t="s">
        <v>3232</v>
      </c>
      <c r="C23" s="173" t="s">
        <v>3233</v>
      </c>
    </row>
    <row r="25" spans="1:87">
      <c r="B25" t="s">
        <v>3230</v>
      </c>
    </row>
    <row r="26" spans="1:87">
      <c r="B26" t="s">
        <v>3235</v>
      </c>
    </row>
    <row r="27" spans="1:87">
      <c r="B27" t="s">
        <v>3237</v>
      </c>
    </row>
  </sheetData>
  <mergeCells count="8">
    <mergeCell ref="A7:F7"/>
    <mergeCell ref="D19:AO19"/>
    <mergeCell ref="D15:BP15"/>
    <mergeCell ref="D13:AC13"/>
    <mergeCell ref="D14:EA14"/>
    <mergeCell ref="D16:BI16"/>
    <mergeCell ref="D17:CI17"/>
    <mergeCell ref="D18:AJ18"/>
  </mergeCells>
  <phoneticPr fontId="15" type="noConversion"/>
  <pageMargins left="0.7" right="0.7" top="0.75" bottom="0.75" header="0.3" footer="0.3"/>
  <pageSetup orientation="landscape"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432FF"/>
  </sheetPr>
  <dimension ref="A12:A41"/>
  <sheetViews>
    <sheetView showGridLines="0" view="pageLayout" workbookViewId="0">
      <selection activeCell="A14" sqref="A14"/>
    </sheetView>
  </sheetViews>
  <sheetFormatPr baseColWidth="10" defaultRowHeight="15" x14ac:dyDescent="0"/>
  <cols>
    <col min="1" max="1" width="76.83203125" customWidth="1"/>
  </cols>
  <sheetData>
    <row r="12" spans="1:1" ht="25">
      <c r="A12" s="152" t="s">
        <v>3043</v>
      </c>
    </row>
    <row r="13" spans="1:1" ht="25">
      <c r="A13" s="152" t="s">
        <v>3380</v>
      </c>
    </row>
    <row r="15" spans="1:1">
      <c r="A15" s="383" t="s">
        <v>3050</v>
      </c>
    </row>
    <row r="16" spans="1:1">
      <c r="A16" s="383"/>
    </row>
    <row r="17" spans="1:1">
      <c r="A17" s="383"/>
    </row>
    <row r="18" spans="1:1">
      <c r="A18" s="383"/>
    </row>
    <row r="19" spans="1:1">
      <c r="A19" s="383"/>
    </row>
    <row r="20" spans="1:1">
      <c r="A20" s="383"/>
    </row>
    <row r="21" spans="1:1">
      <c r="A21" s="383"/>
    </row>
    <row r="22" spans="1:1">
      <c r="A22" s="383"/>
    </row>
    <row r="23" spans="1:1">
      <c r="A23" s="383"/>
    </row>
    <row r="24" spans="1:1">
      <c r="A24" s="383"/>
    </row>
    <row r="25" spans="1:1">
      <c r="A25" s="383"/>
    </row>
    <row r="26" spans="1:1">
      <c r="A26" s="383"/>
    </row>
    <row r="27" spans="1:1">
      <c r="A27" s="383"/>
    </row>
    <row r="28" spans="1:1">
      <c r="A28" s="383"/>
    </row>
    <row r="29" spans="1:1">
      <c r="A29" s="383"/>
    </row>
    <row r="30" spans="1:1">
      <c r="A30" s="383"/>
    </row>
    <row r="31" spans="1:1">
      <c r="A31" s="383"/>
    </row>
    <row r="32" spans="1:1">
      <c r="A32" s="383"/>
    </row>
    <row r="33" spans="1:1">
      <c r="A33" s="383"/>
    </row>
    <row r="34" spans="1:1">
      <c r="A34" s="383"/>
    </row>
    <row r="35" spans="1:1">
      <c r="A35" s="383"/>
    </row>
    <row r="36" spans="1:1">
      <c r="A36" s="383"/>
    </row>
    <row r="37" spans="1:1">
      <c r="A37" s="383"/>
    </row>
    <row r="38" spans="1:1">
      <c r="A38" s="383"/>
    </row>
    <row r="39" spans="1:1">
      <c r="A39" s="383"/>
    </row>
    <row r="40" spans="1:1">
      <c r="A40" s="383"/>
    </row>
    <row r="41" spans="1:1">
      <c r="A41" s="383"/>
    </row>
  </sheetData>
  <mergeCells count="1">
    <mergeCell ref="A15:A41"/>
  </mergeCells>
  <phoneticPr fontId="15" type="noConversion"/>
  <pageMargins left="0.7" right="0.7" top="0.75" bottom="0.75" header="0.3" footer="0.3"/>
  <pageSetup orientation="portrait" horizontalDpi="4294967292" verticalDpi="4294967292"/>
  <headerFooter>
    <oddHeader>&amp;LA New Dataset on Mobile Phone _x000D_Patent License Royalties&amp;RSeptember 2016 Update</oddHeader>
    <oddFooter>&amp;LAlexander Galetovic, Stephen Haber, _x000D_and Lew Zaretzki</oddFooter>
  </headerFooter>
  <extLst>
    <ext xmlns:mx="http://schemas.microsoft.com/office/mac/excel/2008/main" uri="{64002731-A6B0-56B0-2670-7721B7C09600}">
      <mx:PLV Mode="1" OnePage="0" WScale="100"/>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8"/>
  <sheetViews>
    <sheetView showGridLines="0" view="pageLayout" zoomScale="107" workbookViewId="0">
      <selection activeCell="E25" sqref="E25"/>
    </sheetView>
  </sheetViews>
  <sheetFormatPr baseColWidth="10" defaultRowHeight="15" x14ac:dyDescent="0"/>
  <cols>
    <col min="1" max="1" width="7.5" customWidth="1"/>
    <col min="2" max="2" width="13.6640625" customWidth="1"/>
    <col min="3" max="3" width="14" bestFit="1" customWidth="1"/>
    <col min="4" max="4" width="14.5" bestFit="1" customWidth="1"/>
    <col min="5" max="5" width="9" customWidth="1"/>
    <col min="6" max="6" width="15.33203125" bestFit="1" customWidth="1"/>
  </cols>
  <sheetData>
    <row r="2" spans="1:7">
      <c r="A2" s="246" t="s">
        <v>1336</v>
      </c>
    </row>
    <row r="3" spans="1:7" ht="18">
      <c r="A3" s="147" t="str">
        <f>CONCATENATE(VLOOKUP($A$2,'Table of Contents'!$B:$E,4,FALSE)," ",$A$2)</f>
        <v>3.1 Philips</v>
      </c>
    </row>
    <row r="4" spans="1:7">
      <c r="A4" t="str">
        <f>VLOOKUP($A$2,'Table of Contents'!$B:$E,3,FALSE)</f>
        <v>Public Corp</v>
      </c>
    </row>
    <row r="5" spans="1:7">
      <c r="A5" s="148" t="str">
        <f>VLOOKUP($A$2,'Table of Contents'!$B:$E,2,FALSE)</f>
        <v>Approximated</v>
      </c>
    </row>
    <row r="7" spans="1:7">
      <c r="A7" t="s">
        <v>3181</v>
      </c>
    </row>
    <row r="8" spans="1:7">
      <c r="A8" t="s">
        <v>3182</v>
      </c>
    </row>
    <row r="10" spans="1:7">
      <c r="A10" s="377" t="s">
        <v>3183</v>
      </c>
      <c r="B10" s="377"/>
      <c r="C10" s="377"/>
      <c r="D10" s="377"/>
      <c r="E10" s="377"/>
      <c r="F10" s="377"/>
      <c r="G10" s="377"/>
    </row>
    <row r="12" spans="1:7">
      <c r="A12" t="s">
        <v>2997</v>
      </c>
    </row>
    <row r="13" spans="1:7">
      <c r="A13" t="s">
        <v>2998</v>
      </c>
    </row>
    <row r="14" spans="1:7">
      <c r="A14" s="212" t="s">
        <v>3187</v>
      </c>
      <c r="B14" s="212"/>
      <c r="C14" s="212"/>
      <c r="D14" s="212"/>
      <c r="E14" s="212"/>
      <c r="F14" s="212"/>
      <c r="G14" s="212"/>
    </row>
    <row r="15" spans="1:7">
      <c r="A15" s="212" t="s">
        <v>3220</v>
      </c>
      <c r="B15" s="212"/>
      <c r="C15" s="212"/>
      <c r="D15" s="212"/>
      <c r="E15" s="212"/>
      <c r="F15" s="212"/>
      <c r="G15" s="212"/>
    </row>
    <row r="17" spans="1:6" ht="60">
      <c r="A17" s="169" t="s">
        <v>0</v>
      </c>
      <c r="B17" s="169" t="s">
        <v>3186</v>
      </c>
      <c r="C17" s="169" t="s">
        <v>3185</v>
      </c>
      <c r="D17" s="169" t="s">
        <v>6</v>
      </c>
      <c r="E17" s="169" t="s">
        <v>2924</v>
      </c>
      <c r="F17" s="169" t="s">
        <v>3184</v>
      </c>
    </row>
    <row r="18" spans="1:6">
      <c r="A18" s="128">
        <v>2015</v>
      </c>
      <c r="B18" s="195">
        <v>574000000</v>
      </c>
      <c r="C18" s="195">
        <f>B18*0.95*0.3</f>
        <v>163590000</v>
      </c>
      <c r="D18" t="s">
        <v>3221</v>
      </c>
      <c r="E18" s="194">
        <v>0.92093999999999998</v>
      </c>
      <c r="F18" s="1">
        <f>C18/E18</f>
        <v>177633722.06658414</v>
      </c>
    </row>
  </sheetData>
  <mergeCells count="1">
    <mergeCell ref="A10:G10"/>
  </mergeCells>
  <phoneticPr fontId="15" type="noConversion"/>
  <pageMargins left="0.7" right="0.7" top="0.75" bottom="0.75" header="0.3" footer="0.3"/>
  <pageSetup orientation="portrait"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44"/>
  <sheetViews>
    <sheetView showGridLines="0" view="pageLayout" workbookViewId="0">
      <selection activeCell="A3" sqref="A3"/>
    </sheetView>
  </sheetViews>
  <sheetFormatPr baseColWidth="10" defaultRowHeight="15" x14ac:dyDescent="0"/>
  <cols>
    <col min="1" max="1" width="77" style="130" customWidth="1"/>
  </cols>
  <sheetData>
    <row r="2" spans="1:1">
      <c r="A2" s="300" t="s">
        <v>3032</v>
      </c>
    </row>
    <row r="3" spans="1:1" ht="18">
      <c r="A3" s="147" t="str">
        <f>CONCATENATE(VLOOKUP($A$2,'Table of Contents'!$B:$E,4,FALSE)," ",$A$2)</f>
        <v>3.2 ATT 802.11</v>
      </c>
    </row>
    <row r="4" spans="1:1">
      <c r="A4" t="str">
        <f>VLOOKUP($A$2,'Table of Contents'!$B:$E,3,FALSE)</f>
        <v>Public Corp</v>
      </c>
    </row>
    <row r="5" spans="1:1">
      <c r="A5" s="148" t="str">
        <f>VLOOKUP($A$2,'Table of Contents'!$B:$E,2,FALSE)</f>
        <v>Researched</v>
      </c>
    </row>
    <row r="6" spans="1:1">
      <c r="A6" s="136" t="s">
        <v>6</v>
      </c>
    </row>
    <row r="8" spans="1:1">
      <c r="A8" s="130" t="s">
        <v>2813</v>
      </c>
    </row>
    <row r="9" spans="1:1" ht="45">
      <c r="A9" s="130" t="s">
        <v>3142</v>
      </c>
    </row>
    <row r="10" spans="1:1">
      <c r="A10" s="167"/>
    </row>
    <row r="11" spans="1:1">
      <c r="A11" s="168" t="s">
        <v>2814</v>
      </c>
    </row>
    <row r="12" spans="1:1">
      <c r="A12" s="130" t="s">
        <v>2815</v>
      </c>
    </row>
    <row r="13" spans="1:1">
      <c r="A13" s="130" t="s">
        <v>2816</v>
      </c>
    </row>
    <row r="14" spans="1:1">
      <c r="A14" s="130" t="s">
        <v>2817</v>
      </c>
    </row>
    <row r="15" spans="1:1">
      <c r="A15" s="130" t="s">
        <v>2818</v>
      </c>
    </row>
    <row r="16" spans="1:1">
      <c r="A16" s="130" t="s">
        <v>2819</v>
      </c>
    </row>
    <row r="17" spans="1:1">
      <c r="A17" s="130" t="s">
        <v>2820</v>
      </c>
    </row>
    <row r="18" spans="1:1">
      <c r="A18" s="130" t="s">
        <v>2821</v>
      </c>
    </row>
    <row r="20" spans="1:1">
      <c r="A20" s="168" t="s">
        <v>2822</v>
      </c>
    </row>
    <row r="21" spans="1:1" ht="30">
      <c r="A21" s="130" t="s">
        <v>3143</v>
      </c>
    </row>
    <row r="23" spans="1:1" ht="30">
      <c r="A23" s="130" t="s">
        <v>3144</v>
      </c>
    </row>
    <row r="24" spans="1:1" ht="30">
      <c r="A24" s="130" t="s">
        <v>2823</v>
      </c>
    </row>
    <row r="26" spans="1:1">
      <c r="A26" s="156" t="s">
        <v>2824</v>
      </c>
    </row>
    <row r="27" spans="1:1">
      <c r="A27" s="171" t="s">
        <v>3145</v>
      </c>
    </row>
    <row r="28" spans="1:1">
      <c r="A28" s="171" t="s">
        <v>3146</v>
      </c>
    </row>
    <row r="30" spans="1:1">
      <c r="A30" s="168" t="s">
        <v>2826</v>
      </c>
    </row>
    <row r="31" spans="1:1" ht="30">
      <c r="A31" s="171" t="s">
        <v>3141</v>
      </c>
    </row>
    <row r="33" spans="1:1">
      <c r="A33" s="168" t="s">
        <v>2827</v>
      </c>
    </row>
    <row r="34" spans="1:1" ht="30">
      <c r="A34" s="130" t="s">
        <v>3147</v>
      </c>
    </row>
    <row r="37" spans="1:1">
      <c r="A37" s="130" t="s">
        <v>2828</v>
      </c>
    </row>
    <row r="38" spans="1:1">
      <c r="A38" s="130" t="s">
        <v>2832</v>
      </c>
    </row>
    <row r="39" spans="1:1">
      <c r="A39" s="130" t="s">
        <v>2829</v>
      </c>
    </row>
    <row r="40" spans="1:1">
      <c r="A40" s="130" t="s">
        <v>2830</v>
      </c>
    </row>
    <row r="41" spans="1:1">
      <c r="A41" s="130" t="s">
        <v>2831</v>
      </c>
    </row>
    <row r="43" spans="1:1" ht="30">
      <c r="A43" s="130" t="s">
        <v>2833</v>
      </c>
    </row>
    <row r="44" spans="1:1" ht="60">
      <c r="A44" s="130" t="s">
        <v>3148</v>
      </c>
    </row>
  </sheetData>
  <phoneticPr fontId="15" type="noConversion"/>
  <hyperlinks>
    <hyperlink ref="A6" r:id="rId1"/>
  </hyperlinks>
  <pageMargins left="0.7" right="0.7" top="0.75" bottom="0.75" header="0.3" footer="0.3"/>
  <pageSetup orientation="portrait"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67"/>
  <sheetViews>
    <sheetView showGridLines="0" view="pageLayout" workbookViewId="0">
      <selection activeCell="B4" sqref="B4"/>
    </sheetView>
  </sheetViews>
  <sheetFormatPr baseColWidth="10" defaultRowHeight="15" x14ac:dyDescent="0"/>
  <cols>
    <col min="1" max="1" width="17.5" style="130" customWidth="1"/>
    <col min="5" max="5" width="11.33203125" bestFit="1" customWidth="1"/>
  </cols>
  <sheetData>
    <row r="2" spans="1:7">
      <c r="A2" s="300" t="s">
        <v>3033</v>
      </c>
    </row>
    <row r="3" spans="1:7" ht="18">
      <c r="A3" s="399" t="str">
        <f>CONCATENATE(VLOOKUP($A$2,'Table of Contents'!$B:$E,4,FALSE)," ",$A$2)</f>
        <v>3.3 ATT MPEG4</v>
      </c>
      <c r="B3" s="399"/>
      <c r="C3" s="399"/>
      <c r="D3" s="399"/>
      <c r="E3" s="399"/>
      <c r="F3" s="399"/>
      <c r="G3" s="399"/>
    </row>
    <row r="4" spans="1:7">
      <c r="A4" t="str">
        <f>VLOOKUP($A$2,'Table of Contents'!$B:$E,3,FALSE)</f>
        <v>Public Corp</v>
      </c>
    </row>
    <row r="5" spans="1:7">
      <c r="A5" s="148" t="str">
        <f>VLOOKUP($A$2,'Table of Contents'!$B:$E,2,FALSE)</f>
        <v>Researched</v>
      </c>
    </row>
    <row r="6" spans="1:7">
      <c r="A6" s="136" t="s">
        <v>6</v>
      </c>
    </row>
    <row r="7" spans="1:7">
      <c r="A7" s="397" t="s">
        <v>2834</v>
      </c>
      <c r="B7" s="397"/>
      <c r="C7" s="397"/>
      <c r="D7" s="397"/>
      <c r="E7" s="397"/>
      <c r="F7" s="397"/>
      <c r="G7" s="397"/>
    </row>
    <row r="8" spans="1:7">
      <c r="A8" s="397"/>
      <c r="B8" s="397"/>
      <c r="C8" s="397"/>
      <c r="D8" s="397"/>
      <c r="E8" s="397"/>
      <c r="F8" s="397"/>
      <c r="G8" s="397"/>
    </row>
    <row r="9" spans="1:7" ht="53" customHeight="1">
      <c r="A9" s="392" t="s">
        <v>3139</v>
      </c>
      <c r="B9" s="392"/>
      <c r="C9" s="392"/>
      <c r="D9" s="392"/>
      <c r="E9" s="392"/>
      <c r="F9" s="392"/>
      <c r="G9" s="392"/>
    </row>
    <row r="10" spans="1:7" ht="30">
      <c r="A10" s="136" t="s">
        <v>2835</v>
      </c>
    </row>
    <row r="12" spans="1:7">
      <c r="A12" s="397" t="s">
        <v>2836</v>
      </c>
      <c r="B12" s="397"/>
      <c r="C12" s="397"/>
      <c r="D12" s="397"/>
      <c r="E12" s="397"/>
      <c r="F12" s="397"/>
      <c r="G12" s="397"/>
    </row>
    <row r="13" spans="1:7" s="173" customFormat="1" ht="83" customHeight="1">
      <c r="A13" s="392" t="s">
        <v>3138</v>
      </c>
      <c r="B13" s="392"/>
      <c r="C13" s="392"/>
      <c r="D13" s="392"/>
      <c r="E13" s="392"/>
      <c r="F13" s="392"/>
      <c r="G13" s="392"/>
    </row>
    <row r="15" spans="1:7">
      <c r="A15" s="168" t="s">
        <v>2837</v>
      </c>
    </row>
    <row r="16" spans="1:7">
      <c r="A16" s="392" t="s">
        <v>2838</v>
      </c>
      <c r="B16" s="392"/>
      <c r="C16" s="392"/>
      <c r="D16" s="392"/>
      <c r="E16" s="392"/>
      <c r="F16" s="392"/>
      <c r="G16" s="392"/>
    </row>
    <row r="17" spans="1:17">
      <c r="A17" s="392" t="s">
        <v>2839</v>
      </c>
      <c r="B17" s="392"/>
      <c r="C17" s="392"/>
      <c r="D17" s="392"/>
      <c r="E17" s="392"/>
      <c r="F17" s="392"/>
      <c r="G17" s="392"/>
    </row>
    <row r="18" spans="1:17">
      <c r="A18" s="217"/>
      <c r="B18" s="173"/>
      <c r="C18" s="173"/>
      <c r="D18" s="173"/>
      <c r="E18" s="173"/>
      <c r="F18" s="173"/>
      <c r="G18" s="173"/>
    </row>
    <row r="19" spans="1:17">
      <c r="A19" s="395" t="s">
        <v>2840</v>
      </c>
      <c r="B19" s="395"/>
      <c r="C19" s="395"/>
      <c r="D19" s="395"/>
      <c r="E19" s="395"/>
      <c r="F19" s="395"/>
      <c r="G19" s="395"/>
    </row>
    <row r="20" spans="1:17">
      <c r="A20" s="392" t="s">
        <v>2841</v>
      </c>
      <c r="B20" s="392"/>
      <c r="C20" s="392"/>
      <c r="D20" s="392"/>
      <c r="E20" s="392"/>
      <c r="F20" s="392"/>
      <c r="G20" s="392"/>
    </row>
    <row r="21" spans="1:17">
      <c r="A21" s="396" t="s">
        <v>2842</v>
      </c>
      <c r="B21" s="396"/>
      <c r="C21" s="396"/>
      <c r="D21" s="396"/>
      <c r="E21" s="396"/>
      <c r="F21" s="396"/>
      <c r="G21" s="396"/>
    </row>
    <row r="22" spans="1:17">
      <c r="A22" s="396" t="s">
        <v>2843</v>
      </c>
      <c r="B22" s="396"/>
      <c r="C22" s="396"/>
      <c r="D22" s="396"/>
      <c r="E22" s="396"/>
      <c r="F22" s="396"/>
      <c r="G22" s="396"/>
    </row>
    <row r="23" spans="1:17">
      <c r="A23" s="111"/>
    </row>
    <row r="24" spans="1:17">
      <c r="A24" s="398" t="s">
        <v>2844</v>
      </c>
      <c r="B24" s="398"/>
      <c r="C24" s="398"/>
      <c r="D24" s="398"/>
      <c r="E24" s="398"/>
      <c r="F24" s="398"/>
      <c r="G24" s="398"/>
    </row>
    <row r="25" spans="1:17">
      <c r="A25" s="396" t="s">
        <v>2842</v>
      </c>
      <c r="B25" s="396"/>
      <c r="C25" s="396"/>
      <c r="D25" s="396"/>
      <c r="E25" s="396"/>
      <c r="F25" s="396"/>
      <c r="G25" s="396"/>
    </row>
    <row r="26" spans="1:17">
      <c r="A26" s="396" t="s">
        <v>2843</v>
      </c>
      <c r="B26" s="396"/>
      <c r="C26" s="396"/>
      <c r="D26" s="396"/>
      <c r="E26" s="396"/>
      <c r="F26" s="396"/>
      <c r="G26" s="396"/>
    </row>
    <row r="27" spans="1:17">
      <c r="A27" s="217"/>
      <c r="B27" s="173"/>
      <c r="C27" s="173"/>
      <c r="D27" s="173"/>
      <c r="E27" s="173"/>
      <c r="F27" s="173"/>
      <c r="G27" s="173"/>
    </row>
    <row r="28" spans="1:17">
      <c r="A28" s="398" t="s">
        <v>2845</v>
      </c>
      <c r="B28" s="398"/>
      <c r="C28" s="398"/>
      <c r="D28" s="398"/>
      <c r="E28" s="398"/>
      <c r="F28" s="398"/>
      <c r="G28" s="398"/>
      <c r="Q28" s="8"/>
    </row>
    <row r="29" spans="1:17">
      <c r="A29" s="396" t="s">
        <v>2842</v>
      </c>
      <c r="B29" s="396"/>
      <c r="C29" s="396"/>
      <c r="D29" s="396"/>
      <c r="E29" s="396"/>
      <c r="F29" s="396"/>
      <c r="G29" s="396"/>
    </row>
    <row r="30" spans="1:17">
      <c r="A30" s="396" t="s">
        <v>2843</v>
      </c>
      <c r="B30" s="396"/>
      <c r="C30" s="396"/>
      <c r="D30" s="396"/>
      <c r="E30" s="396"/>
      <c r="F30" s="396"/>
      <c r="G30" s="396"/>
    </row>
    <row r="32" spans="1:17">
      <c r="A32" s="395" t="s">
        <v>2846</v>
      </c>
      <c r="B32" s="395"/>
      <c r="C32" s="395"/>
      <c r="D32" s="395"/>
      <c r="E32" s="395"/>
      <c r="F32" s="395"/>
      <c r="G32" s="395"/>
    </row>
    <row r="33" spans="1:10">
      <c r="A33" s="392" t="s">
        <v>2847</v>
      </c>
      <c r="B33" s="392"/>
      <c r="C33" s="392"/>
      <c r="D33" s="392"/>
      <c r="E33" s="392"/>
      <c r="F33" s="392"/>
      <c r="G33" s="392"/>
    </row>
    <row r="34" spans="1:10" s="173" customFormat="1">
      <c r="A34" s="392" t="s">
        <v>2848</v>
      </c>
      <c r="B34" s="392"/>
      <c r="C34" s="392"/>
      <c r="D34" s="392"/>
      <c r="E34" s="392"/>
      <c r="F34" s="392"/>
      <c r="G34" s="392"/>
    </row>
    <row r="36" spans="1:10">
      <c r="A36" s="168" t="s">
        <v>2849</v>
      </c>
    </row>
    <row r="37" spans="1:10" ht="33" customHeight="1">
      <c r="A37" s="392" t="s">
        <v>2850</v>
      </c>
      <c r="B37" s="392"/>
      <c r="C37" s="392"/>
      <c r="D37" s="392"/>
      <c r="E37" s="392"/>
      <c r="F37" s="392"/>
      <c r="G37" s="392"/>
    </row>
    <row r="39" spans="1:10">
      <c r="A39" s="395" t="s">
        <v>2851</v>
      </c>
      <c r="B39" s="395"/>
      <c r="C39" s="395"/>
      <c r="D39" s="395"/>
      <c r="E39" s="395"/>
      <c r="F39" s="395"/>
      <c r="G39" s="395"/>
    </row>
    <row r="40" spans="1:10">
      <c r="A40" s="392" t="s">
        <v>2852</v>
      </c>
      <c r="B40" s="392"/>
      <c r="C40" s="392"/>
      <c r="D40" s="392"/>
      <c r="E40" s="392"/>
      <c r="F40" s="392"/>
      <c r="G40" s="392"/>
    </row>
    <row r="41" spans="1:10">
      <c r="A41" s="171" t="s">
        <v>2829</v>
      </c>
      <c r="B41" s="139"/>
      <c r="C41" s="139"/>
      <c r="D41" s="139"/>
      <c r="E41" s="139"/>
      <c r="F41" s="139"/>
      <c r="G41" s="139"/>
    </row>
    <row r="42" spans="1:10">
      <c r="A42" s="396" t="s">
        <v>2853</v>
      </c>
      <c r="B42" s="396"/>
      <c r="C42" s="396"/>
      <c r="D42" s="396"/>
      <c r="E42" s="396"/>
      <c r="F42" s="396"/>
      <c r="G42" s="396"/>
    </row>
    <row r="43" spans="1:10">
      <c r="A43" s="171" t="s">
        <v>2854</v>
      </c>
      <c r="B43" s="139"/>
      <c r="C43" s="139"/>
      <c r="D43" s="139"/>
      <c r="E43" s="139"/>
      <c r="F43" s="139"/>
      <c r="G43" s="139"/>
    </row>
    <row r="44" spans="1:10">
      <c r="A44" s="396" t="s">
        <v>2855</v>
      </c>
      <c r="B44" s="396"/>
      <c r="C44" s="396"/>
      <c r="D44" s="396"/>
      <c r="E44" s="396"/>
      <c r="F44" s="396"/>
      <c r="G44" s="396"/>
    </row>
    <row r="45" spans="1:10">
      <c r="A45" s="396" t="s">
        <v>2856</v>
      </c>
      <c r="B45" s="396"/>
      <c r="C45" s="396"/>
      <c r="D45" s="396"/>
      <c r="E45" s="396"/>
      <c r="F45" s="396"/>
      <c r="G45" s="396"/>
    </row>
    <row r="46" spans="1:10">
      <c r="A46" s="396" t="s">
        <v>2857</v>
      </c>
      <c r="B46" s="396"/>
      <c r="C46" s="396"/>
      <c r="D46" s="396"/>
      <c r="E46" s="396"/>
      <c r="F46" s="396"/>
      <c r="G46" s="396"/>
    </row>
    <row r="47" spans="1:10">
      <c r="A47" s="396" t="s">
        <v>2858</v>
      </c>
      <c r="B47" s="396"/>
      <c r="C47" s="396"/>
      <c r="D47" s="396"/>
      <c r="E47" s="396"/>
      <c r="F47" s="396"/>
      <c r="G47" s="396"/>
    </row>
    <row r="48" spans="1:10">
      <c r="A48" s="396" t="s">
        <v>2859</v>
      </c>
      <c r="B48" s="396"/>
      <c r="C48" s="396"/>
      <c r="D48" s="396"/>
      <c r="E48" s="396"/>
      <c r="F48" s="396"/>
      <c r="G48" s="396"/>
      <c r="J48" s="8"/>
    </row>
    <row r="49" spans="1:7">
      <c r="A49" s="171" t="s">
        <v>3264</v>
      </c>
      <c r="B49" s="139"/>
      <c r="C49" s="139"/>
      <c r="D49" s="139"/>
      <c r="E49" s="139"/>
      <c r="F49" s="139"/>
      <c r="G49" s="139"/>
    </row>
    <row r="50" spans="1:7" ht="30">
      <c r="A50" s="171" t="s">
        <v>2860</v>
      </c>
      <c r="B50" s="139"/>
      <c r="C50" s="139"/>
      <c r="D50" s="139"/>
      <c r="E50" s="139"/>
      <c r="F50" s="139"/>
      <c r="G50" s="139"/>
    </row>
    <row r="51" spans="1:7">
      <c r="A51" s="171" t="s">
        <v>2861</v>
      </c>
      <c r="B51" s="139"/>
      <c r="C51" s="139"/>
      <c r="D51" s="139"/>
      <c r="E51" s="139"/>
      <c r="F51" s="139"/>
      <c r="G51" s="139"/>
    </row>
    <row r="52" spans="1:7">
      <c r="A52" s="396" t="s">
        <v>2862</v>
      </c>
      <c r="B52" s="396"/>
      <c r="C52" s="396"/>
      <c r="D52" s="396"/>
      <c r="E52" s="396"/>
      <c r="F52" s="396"/>
      <c r="G52" s="396"/>
    </row>
    <row r="53" spans="1:7">
      <c r="A53" s="396" t="s">
        <v>2863</v>
      </c>
      <c r="B53" s="396"/>
      <c r="C53" s="396"/>
      <c r="D53" s="396"/>
      <c r="E53" s="396"/>
      <c r="F53" s="396"/>
      <c r="G53" s="396"/>
    </row>
    <row r="54" spans="1:7">
      <c r="A54" s="396" t="s">
        <v>2864</v>
      </c>
      <c r="B54" s="396"/>
      <c r="C54" s="396"/>
      <c r="D54" s="396"/>
      <c r="E54" s="396"/>
      <c r="F54" s="396"/>
      <c r="G54" s="396"/>
    </row>
    <row r="55" spans="1:7">
      <c r="A55" s="396" t="s">
        <v>2865</v>
      </c>
      <c r="B55" s="396"/>
      <c r="C55" s="396"/>
      <c r="D55" s="396"/>
      <c r="E55" s="396"/>
      <c r="F55" s="396"/>
      <c r="G55" s="396"/>
    </row>
    <row r="56" spans="1:7">
      <c r="A56" s="396" t="s">
        <v>2866</v>
      </c>
      <c r="B56" s="396"/>
      <c r="C56" s="396"/>
      <c r="D56" s="396"/>
      <c r="E56" s="396"/>
      <c r="F56" s="396"/>
      <c r="G56" s="396"/>
    </row>
    <row r="57" spans="1:7" s="173" customFormat="1">
      <c r="A57" s="396" t="s">
        <v>2867</v>
      </c>
      <c r="B57" s="396"/>
      <c r="C57" s="396"/>
      <c r="D57" s="396"/>
      <c r="E57" s="396"/>
      <c r="F57" s="396"/>
      <c r="G57" s="396"/>
    </row>
    <row r="59" spans="1:7">
      <c r="A59" s="392" t="s">
        <v>2869</v>
      </c>
      <c r="B59" s="392"/>
      <c r="C59" s="392"/>
      <c r="D59" s="392"/>
      <c r="E59" s="392"/>
      <c r="F59" s="392"/>
      <c r="G59" s="392"/>
    </row>
    <row r="60" spans="1:7">
      <c r="A60" s="392" t="s">
        <v>2870</v>
      </c>
      <c r="B60" s="392"/>
      <c r="C60" s="392"/>
      <c r="D60" s="392"/>
      <c r="E60" s="392"/>
      <c r="F60" s="392"/>
      <c r="G60" s="392"/>
    </row>
    <row r="61" spans="1:7" s="173" customFormat="1" ht="67" customHeight="1">
      <c r="A61" s="392" t="s">
        <v>3140</v>
      </c>
      <c r="B61" s="392"/>
      <c r="C61" s="392"/>
      <c r="D61" s="392"/>
      <c r="E61" s="392"/>
      <c r="F61" s="392"/>
      <c r="G61" s="392"/>
    </row>
    <row r="63" spans="1:7">
      <c r="A63" s="160" t="s">
        <v>0</v>
      </c>
      <c r="B63" s="160" t="s">
        <v>2871</v>
      </c>
      <c r="C63" s="160" t="s">
        <v>1242</v>
      </c>
      <c r="D63" s="160" t="s">
        <v>2872</v>
      </c>
      <c r="E63" s="174" t="s">
        <v>94</v>
      </c>
    </row>
    <row r="64" spans="1:7">
      <c r="A64" s="165">
        <v>2012</v>
      </c>
      <c r="B64" s="1">
        <f>3750000+2000000</f>
        <v>5750000</v>
      </c>
      <c r="C64" s="1">
        <f>3750000+2000000</f>
        <v>5750000</v>
      </c>
      <c r="D64" s="1">
        <f>3750000+2000000</f>
        <v>5750000</v>
      </c>
      <c r="E64" s="175">
        <f>SUM(B64:D64)</f>
        <v>17250000</v>
      </c>
    </row>
    <row r="65" spans="1:5">
      <c r="A65" s="165">
        <v>2013</v>
      </c>
      <c r="B65" s="1">
        <f t="shared" ref="B65:D67" si="0">3750000+2000000</f>
        <v>5750000</v>
      </c>
      <c r="C65" s="1">
        <f t="shared" si="0"/>
        <v>5750000</v>
      </c>
      <c r="D65" s="1">
        <f t="shared" si="0"/>
        <v>5750000</v>
      </c>
      <c r="E65" s="175">
        <f t="shared" ref="E65:E67" si="1">SUM(B65:D65)</f>
        <v>17250000</v>
      </c>
    </row>
    <row r="66" spans="1:5">
      <c r="A66" s="165">
        <v>2014</v>
      </c>
      <c r="B66" s="1">
        <f t="shared" si="0"/>
        <v>5750000</v>
      </c>
      <c r="C66" s="1">
        <f t="shared" si="0"/>
        <v>5750000</v>
      </c>
      <c r="D66" s="1">
        <f t="shared" si="0"/>
        <v>5750000</v>
      </c>
      <c r="E66" s="175">
        <f t="shared" si="1"/>
        <v>17250000</v>
      </c>
    </row>
    <row r="67" spans="1:5">
      <c r="A67" s="165">
        <v>2015</v>
      </c>
      <c r="B67" s="1">
        <f t="shared" si="0"/>
        <v>5750000</v>
      </c>
      <c r="C67" s="1">
        <f t="shared" si="0"/>
        <v>5750000</v>
      </c>
      <c r="D67" s="1">
        <f t="shared" si="0"/>
        <v>5750000</v>
      </c>
      <c r="E67" s="175">
        <f t="shared" si="1"/>
        <v>17250000</v>
      </c>
    </row>
  </sheetData>
  <mergeCells count="38">
    <mergeCell ref="A3:G3"/>
    <mergeCell ref="A25:G25"/>
    <mergeCell ref="A26:G26"/>
    <mergeCell ref="A28:G28"/>
    <mergeCell ref="A29:G29"/>
    <mergeCell ref="A30:G30"/>
    <mergeCell ref="A7:G8"/>
    <mergeCell ref="A12:G12"/>
    <mergeCell ref="A21:G21"/>
    <mergeCell ref="A22:G22"/>
    <mergeCell ref="A20:G20"/>
    <mergeCell ref="A19:G19"/>
    <mergeCell ref="A16:G16"/>
    <mergeCell ref="A17:G17"/>
    <mergeCell ref="A9:G9"/>
    <mergeCell ref="A13:G13"/>
    <mergeCell ref="A24:G24"/>
    <mergeCell ref="A60:G60"/>
    <mergeCell ref="A61:G61"/>
    <mergeCell ref="A57:G57"/>
    <mergeCell ref="A33:G33"/>
    <mergeCell ref="A34:G34"/>
    <mergeCell ref="A48:G48"/>
    <mergeCell ref="A40:G40"/>
    <mergeCell ref="A39:G39"/>
    <mergeCell ref="A37:G37"/>
    <mergeCell ref="A59:G59"/>
    <mergeCell ref="A47:G47"/>
    <mergeCell ref="A52:G52"/>
    <mergeCell ref="A56:G56"/>
    <mergeCell ref="A55:G55"/>
    <mergeCell ref="A54:G54"/>
    <mergeCell ref="A53:G53"/>
    <mergeCell ref="A32:G32"/>
    <mergeCell ref="A42:G42"/>
    <mergeCell ref="A44:G44"/>
    <mergeCell ref="A45:G45"/>
    <mergeCell ref="A46:G46"/>
  </mergeCells>
  <phoneticPr fontId="15" type="noConversion"/>
  <hyperlinks>
    <hyperlink ref="A10" r:id="rId1"/>
    <hyperlink ref="A6" r:id="rId2" display="Source: https://www.att.com/gen/sites/ipsales?pid=19116"/>
  </hyperlinks>
  <pageMargins left="0.7" right="0.7" top="0.75" bottom="0.75" header="0.3" footer="0.3"/>
  <pageSetup orientation="portrait"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57"/>
  <sheetViews>
    <sheetView showGridLines="0" view="pageLayout" workbookViewId="0">
      <selection activeCell="A3" sqref="A3"/>
    </sheetView>
  </sheetViews>
  <sheetFormatPr baseColWidth="10" defaultRowHeight="15" x14ac:dyDescent="0"/>
  <cols>
    <col min="3" max="3" width="16" bestFit="1" customWidth="1"/>
    <col min="4" max="4" width="13.83203125" bestFit="1" customWidth="1"/>
    <col min="5" max="5" width="13.5" customWidth="1"/>
    <col min="6" max="6" width="17.83203125" customWidth="1"/>
    <col min="7" max="7" width="16" bestFit="1" customWidth="1"/>
  </cols>
  <sheetData>
    <row r="2" spans="1:6">
      <c r="A2" s="246" t="s">
        <v>207</v>
      </c>
    </row>
    <row r="3" spans="1:6" ht="18">
      <c r="A3" s="147" t="str">
        <f>CONCATENATE(VLOOKUP($A$2,'Table of Contents'!$B:$E,4,FALSE)," ",$A$2)</f>
        <v>3.4 Broadcom</v>
      </c>
    </row>
    <row r="4" spans="1:6">
      <c r="A4" s="35" t="str">
        <f>VLOOKUP($A$2,'Table of Contents'!$B:$E,3,FALSE)</f>
        <v>Public Corp</v>
      </c>
    </row>
    <row r="5" spans="1:6">
      <c r="A5" s="148" t="str">
        <f>VLOOKUP($A$2,'Table of Contents'!$B:$E,2,FALSE)</f>
        <v>Researched</v>
      </c>
    </row>
    <row r="7" spans="1:6">
      <c r="A7" s="44" t="s">
        <v>3031</v>
      </c>
    </row>
    <row r="8" spans="1:6" ht="49" customHeight="1">
      <c r="A8" s="392" t="s">
        <v>3279</v>
      </c>
      <c r="B8" s="392"/>
      <c r="C8" s="392"/>
      <c r="D8" s="392"/>
      <c r="E8" s="392"/>
      <c r="F8" s="392"/>
    </row>
    <row r="10" spans="1:6">
      <c r="A10" s="44" t="s">
        <v>3068</v>
      </c>
    </row>
    <row r="11" spans="1:6" ht="32" customHeight="1">
      <c r="A11" s="392" t="s">
        <v>3276</v>
      </c>
      <c r="B11" s="392"/>
      <c r="C11" s="392"/>
      <c r="D11" s="392"/>
      <c r="E11" s="392"/>
      <c r="F11" s="392"/>
    </row>
    <row r="12" spans="1:6" ht="31" customHeight="1">
      <c r="A12" s="392" t="s">
        <v>3278</v>
      </c>
      <c r="B12" s="392"/>
      <c r="C12" s="392"/>
      <c r="D12" s="392"/>
      <c r="E12" s="392"/>
      <c r="F12" s="392"/>
    </row>
    <row r="13" spans="1:6" ht="19" customHeight="1">
      <c r="A13" s="392" t="s">
        <v>3277</v>
      </c>
      <c r="B13" s="392"/>
      <c r="C13" s="392"/>
      <c r="D13" s="392"/>
      <c r="E13" s="392"/>
      <c r="F13" s="392"/>
    </row>
    <row r="15" spans="1:6">
      <c r="A15" s="44" t="s">
        <v>3067</v>
      </c>
    </row>
    <row r="16" spans="1:6" ht="33" customHeight="1">
      <c r="A16" s="392" t="s">
        <v>3294</v>
      </c>
      <c r="B16" s="392"/>
      <c r="C16" s="392"/>
      <c r="D16" s="392"/>
      <c r="E16" s="392"/>
      <c r="F16" s="392"/>
    </row>
    <row r="18" spans="1:6">
      <c r="A18" s="44" t="s">
        <v>2092</v>
      </c>
    </row>
    <row r="19" spans="1:6" ht="31" customHeight="1">
      <c r="A19" s="398" t="s">
        <v>3269</v>
      </c>
      <c r="B19" s="398"/>
      <c r="C19" s="398"/>
      <c r="D19" s="398"/>
      <c r="E19" s="398"/>
      <c r="F19" s="398"/>
    </row>
    <row r="20" spans="1:6">
      <c r="A20" s="2"/>
    </row>
    <row r="21" spans="1:6">
      <c r="A21" s="2" t="s">
        <v>3270</v>
      </c>
    </row>
    <row r="22" spans="1:6" ht="31" customHeight="1">
      <c r="A22" s="400" t="s">
        <v>3275</v>
      </c>
      <c r="B22" s="400"/>
      <c r="C22" s="400"/>
      <c r="D22" s="400"/>
      <c r="E22" s="400"/>
      <c r="F22" s="400"/>
    </row>
    <row r="23" spans="1:6">
      <c r="A23" s="2"/>
    </row>
    <row r="24" spans="1:6">
      <c r="A24" s="126" t="s">
        <v>3272</v>
      </c>
    </row>
    <row r="25" spans="1:6" ht="31" customHeight="1">
      <c r="A25" s="398" t="s">
        <v>3274</v>
      </c>
      <c r="B25" s="398"/>
      <c r="C25" s="398"/>
      <c r="D25" s="398"/>
      <c r="E25" s="398"/>
      <c r="F25" s="398"/>
    </row>
    <row r="27" spans="1:6">
      <c r="A27" t="s">
        <v>3271</v>
      </c>
    </row>
    <row r="28" spans="1:6" ht="31" customHeight="1">
      <c r="A28" s="392" t="s">
        <v>3273</v>
      </c>
      <c r="B28" s="392"/>
      <c r="C28" s="392"/>
      <c r="D28" s="392"/>
      <c r="E28" s="392"/>
      <c r="F28" s="392"/>
    </row>
    <row r="30" spans="1:6">
      <c r="A30" t="s">
        <v>3283</v>
      </c>
    </row>
    <row r="31" spans="1:6">
      <c r="A31" t="s">
        <v>3284</v>
      </c>
    </row>
    <row r="34" spans="1:7" ht="64" customHeight="1">
      <c r="A34" s="392" t="s">
        <v>3288</v>
      </c>
      <c r="B34" s="392"/>
      <c r="C34" s="392"/>
      <c r="D34" s="392"/>
      <c r="E34" s="392"/>
      <c r="F34" s="392"/>
    </row>
    <row r="35" spans="1:7">
      <c r="A35" t="s">
        <v>3285</v>
      </c>
      <c r="B35" s="262">
        <f>(160000000-87000000+19000000)/1000000</f>
        <v>92</v>
      </c>
      <c r="C35" t="s">
        <v>3280</v>
      </c>
    </row>
    <row r="36" spans="1:7" ht="15" customHeight="1"/>
    <row r="37" spans="1:7">
      <c r="A37" s="125" t="s">
        <v>2891</v>
      </c>
      <c r="G37" s="1"/>
    </row>
    <row r="38" spans="1:7">
      <c r="A38" s="173" t="s">
        <v>3289</v>
      </c>
      <c r="G38" s="1"/>
    </row>
    <row r="39" spans="1:7">
      <c r="A39" s="215" t="s">
        <v>3265</v>
      </c>
      <c r="B39" s="258">
        <f>143000000/1000000</f>
        <v>143</v>
      </c>
      <c r="C39" t="s">
        <v>3280</v>
      </c>
      <c r="G39" s="1"/>
    </row>
    <row r="40" spans="1:7">
      <c r="A40" s="215" t="s">
        <v>3266</v>
      </c>
      <c r="B40" s="258">
        <f>159000000/1000000</f>
        <v>159</v>
      </c>
      <c r="C40" t="s">
        <v>3280</v>
      </c>
      <c r="G40" s="1"/>
    </row>
    <row r="41" spans="1:7">
      <c r="A41" s="215" t="s">
        <v>3267</v>
      </c>
      <c r="B41" s="258">
        <f>189000000/1000000</f>
        <v>189</v>
      </c>
      <c r="C41" t="s">
        <v>3280</v>
      </c>
      <c r="G41" s="1"/>
    </row>
    <row r="42" spans="1:7">
      <c r="A42" s="215" t="s">
        <v>3268</v>
      </c>
      <c r="B42" s="258">
        <f>0.1*1657000000/1000000</f>
        <v>165.7</v>
      </c>
      <c r="C42" t="s">
        <v>3280</v>
      </c>
      <c r="G42" s="1"/>
    </row>
    <row r="43" spans="1:7">
      <c r="A43" s="261" t="s">
        <v>3282</v>
      </c>
      <c r="B43" s="259">
        <f>SUM(B39:B42)</f>
        <v>656.7</v>
      </c>
      <c r="C43" t="s">
        <v>3280</v>
      </c>
      <c r="G43" s="1"/>
    </row>
    <row r="44" spans="1:7">
      <c r="G44" s="1"/>
    </row>
    <row r="45" spans="1:7">
      <c r="A45" t="s">
        <v>3281</v>
      </c>
      <c r="E45" s="145" t="s">
        <v>3291</v>
      </c>
      <c r="F45" s="145" t="s">
        <v>3292</v>
      </c>
      <c r="G45" s="1"/>
    </row>
    <row r="46" spans="1:7">
      <c r="A46" t="s">
        <v>3287</v>
      </c>
      <c r="B46" s="189">
        <v>638</v>
      </c>
      <c r="C46" t="s">
        <v>3280</v>
      </c>
      <c r="E46" s="3">
        <v>4.9000000000000002E-2</v>
      </c>
      <c r="F46" s="260">
        <f>E46*B46</f>
        <v>31.262</v>
      </c>
      <c r="G46" s="1"/>
    </row>
    <row r="47" spans="1:7">
      <c r="A47" t="s">
        <v>3286</v>
      </c>
      <c r="B47" s="189">
        <v>557</v>
      </c>
      <c r="C47" t="s">
        <v>3280</v>
      </c>
      <c r="E47" s="3">
        <v>3.4000000000000002E-2</v>
      </c>
      <c r="F47" s="260">
        <f>E47*B47</f>
        <v>18.938000000000002</v>
      </c>
      <c r="G47" s="1"/>
    </row>
    <row r="48" spans="1:7">
      <c r="A48" t="s">
        <v>3285</v>
      </c>
      <c r="B48" s="189">
        <v>562</v>
      </c>
      <c r="C48" t="s">
        <v>3280</v>
      </c>
      <c r="E48" s="3">
        <f>B35/B48</f>
        <v>0.16370106761565836</v>
      </c>
      <c r="F48" s="260">
        <f>E48*B48</f>
        <v>92</v>
      </c>
      <c r="G48" s="1"/>
    </row>
    <row r="49" spans="1:7">
      <c r="A49" t="s">
        <v>3282</v>
      </c>
      <c r="B49" s="189">
        <v>656.7</v>
      </c>
      <c r="C49" t="s">
        <v>3280</v>
      </c>
      <c r="E49" s="3">
        <f>E48</f>
        <v>0.16370106761565836</v>
      </c>
      <c r="F49" s="260">
        <f>E49*B49</f>
        <v>107.50249110320286</v>
      </c>
      <c r="G49" s="1"/>
    </row>
    <row r="50" spans="1:7">
      <c r="A50" t="s">
        <v>3290</v>
      </c>
    </row>
    <row r="52" spans="1:7" ht="33" customHeight="1">
      <c r="A52" s="392" t="s">
        <v>3293</v>
      </c>
      <c r="B52" s="392"/>
      <c r="C52" s="392"/>
      <c r="D52" s="392"/>
      <c r="E52" s="392"/>
      <c r="F52" s="392"/>
    </row>
    <row r="53" spans="1:7">
      <c r="A53" t="s">
        <v>3282</v>
      </c>
      <c r="B53" s="189">
        <f>F49</f>
        <v>107.50249110320286</v>
      </c>
      <c r="C53" t="s">
        <v>3280</v>
      </c>
    </row>
    <row r="57" spans="1:7">
      <c r="A57" t="s">
        <v>11</v>
      </c>
      <c r="B57" s="189" t="s">
        <v>11</v>
      </c>
      <c r="C57" t="s">
        <v>11</v>
      </c>
    </row>
  </sheetData>
  <mergeCells count="11">
    <mergeCell ref="A8:F8"/>
    <mergeCell ref="A13:F13"/>
    <mergeCell ref="A52:F52"/>
    <mergeCell ref="A16:F16"/>
    <mergeCell ref="A25:F25"/>
    <mergeCell ref="A22:F22"/>
    <mergeCell ref="A28:F28"/>
    <mergeCell ref="A34:F34"/>
    <mergeCell ref="A19:F19"/>
    <mergeCell ref="A11:F11"/>
    <mergeCell ref="A12:F12"/>
  </mergeCells>
  <phoneticPr fontId="15" type="noConversion"/>
  <hyperlinks>
    <hyperlink ref="A37" r:id="rId1"/>
  </hyperlinks>
  <pageMargins left="0.7" right="0.7" top="0.75" bottom="0.75" header="0.3" footer="0.3"/>
  <pageSetup orientation="portrait"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14"/>
  <sheetViews>
    <sheetView showGridLines="0" view="pageLayout" workbookViewId="0">
      <selection activeCell="A8" sqref="A8:G12"/>
    </sheetView>
  </sheetViews>
  <sheetFormatPr baseColWidth="10" defaultRowHeight="15" x14ac:dyDescent="0"/>
  <cols>
    <col min="1" max="1" width="7.83203125" customWidth="1"/>
    <col min="2" max="2" width="14.1640625" customWidth="1"/>
    <col min="3" max="3" width="15.1640625" customWidth="1"/>
    <col min="4" max="7" width="17.1640625" customWidth="1"/>
    <col min="8" max="9" width="14.6640625" customWidth="1"/>
    <col min="10" max="10" width="11.83203125" customWidth="1"/>
  </cols>
  <sheetData>
    <row r="2" spans="1:7">
      <c r="A2" s="246" t="s">
        <v>2884</v>
      </c>
    </row>
    <row r="3" spans="1:7" ht="18">
      <c r="A3" s="147" t="str">
        <f>CONCATENATE(VLOOKUP($A$2,'Table of Contents'!$B:$E,4,FALSE)," ",$A$2)</f>
        <v>3.5 Tessera</v>
      </c>
    </row>
    <row r="4" spans="1:7">
      <c r="A4" t="str">
        <f>VLOOKUP($A$2,'Table of Contents'!$B:$E,3,FALSE)</f>
        <v>Public Corp</v>
      </c>
      <c r="B4" s="125"/>
    </row>
    <row r="5" spans="1:7">
      <c r="A5" s="148" t="str">
        <f>VLOOKUP($A$2,'Table of Contents'!$B:$E,2,FALSE)</f>
        <v>Approximated</v>
      </c>
      <c r="B5" s="125"/>
    </row>
    <row r="7" spans="1:7">
      <c r="A7" s="44" t="s">
        <v>3031</v>
      </c>
    </row>
    <row r="8" spans="1:7" ht="16" customHeight="1">
      <c r="A8" s="401" t="s">
        <v>3406</v>
      </c>
      <c r="B8" s="401"/>
      <c r="C8" s="401"/>
      <c r="D8" s="401"/>
      <c r="E8" s="401"/>
      <c r="F8" s="401"/>
      <c r="G8" s="401"/>
    </row>
    <row r="9" spans="1:7">
      <c r="A9" s="401"/>
      <c r="B9" s="401"/>
      <c r="C9" s="401"/>
      <c r="D9" s="401"/>
      <c r="E9" s="401"/>
      <c r="F9" s="401"/>
      <c r="G9" s="401"/>
    </row>
    <row r="10" spans="1:7">
      <c r="A10" s="401"/>
      <c r="B10" s="401"/>
      <c r="C10" s="401"/>
      <c r="D10" s="401"/>
      <c r="E10" s="401"/>
      <c r="F10" s="401"/>
      <c r="G10" s="401"/>
    </row>
    <row r="11" spans="1:7">
      <c r="A11" s="401"/>
      <c r="B11" s="401"/>
      <c r="C11" s="401"/>
      <c r="D11" s="401"/>
      <c r="E11" s="401"/>
      <c r="F11" s="401"/>
      <c r="G11" s="401"/>
    </row>
    <row r="12" spans="1:7">
      <c r="A12" s="401"/>
      <c r="B12" s="401"/>
      <c r="C12" s="401"/>
      <c r="D12" s="401"/>
      <c r="E12" s="401"/>
      <c r="F12" s="401"/>
      <c r="G12" s="401"/>
    </row>
    <row r="13" spans="1:7">
      <c r="A13" s="314"/>
      <c r="B13" s="314"/>
      <c r="C13" s="314"/>
      <c r="D13" s="314"/>
      <c r="E13" s="314"/>
      <c r="F13" s="314"/>
      <c r="G13" s="314"/>
    </row>
    <row r="14" spans="1:7">
      <c r="A14" s="44" t="s">
        <v>3068</v>
      </c>
    </row>
    <row r="15" spans="1:7">
      <c r="A15" s="383" t="s">
        <v>3407</v>
      </c>
      <c r="B15" s="383"/>
      <c r="C15" s="383"/>
      <c r="D15" s="383"/>
      <c r="E15" s="383"/>
      <c r="F15" s="383"/>
      <c r="G15" s="383"/>
    </row>
    <row r="16" spans="1:7">
      <c r="A16" s="383"/>
      <c r="B16" s="383"/>
      <c r="C16" s="383"/>
      <c r="D16" s="383"/>
      <c r="E16" s="383"/>
      <c r="F16" s="383"/>
      <c r="G16" s="383"/>
    </row>
    <row r="17" spans="1:7">
      <c r="A17" s="383"/>
      <c r="B17" s="383"/>
      <c r="C17" s="383"/>
      <c r="D17" s="383"/>
      <c r="E17" s="383"/>
      <c r="F17" s="383"/>
      <c r="G17" s="383"/>
    </row>
    <row r="18" spans="1:7">
      <c r="A18" s="383"/>
      <c r="B18" s="383"/>
      <c r="C18" s="383"/>
      <c r="D18" s="383"/>
      <c r="E18" s="383"/>
      <c r="F18" s="383"/>
      <c r="G18" s="383"/>
    </row>
    <row r="19" spans="1:7">
      <c r="A19" s="383"/>
      <c r="B19" s="383"/>
      <c r="C19" s="383"/>
      <c r="D19" s="383"/>
      <c r="E19" s="383"/>
      <c r="F19" s="383"/>
      <c r="G19" s="383"/>
    </row>
    <row r="20" spans="1:7" ht="16" customHeight="1"/>
    <row r="21" spans="1:7">
      <c r="A21" s="44" t="s">
        <v>3067</v>
      </c>
    </row>
    <row r="22" spans="1:7" ht="17" customHeight="1">
      <c r="A22" s="402" t="s">
        <v>3424</v>
      </c>
      <c r="B22" s="402"/>
      <c r="C22" s="402"/>
      <c r="D22" s="402"/>
      <c r="E22" s="402"/>
      <c r="F22" s="402"/>
      <c r="G22" s="402"/>
    </row>
    <row r="24" spans="1:7">
      <c r="A24" s="44" t="s">
        <v>2092</v>
      </c>
    </row>
    <row r="25" spans="1:7">
      <c r="A25" s="383" t="s">
        <v>3408</v>
      </c>
      <c r="B25" s="383"/>
      <c r="C25" s="383"/>
      <c r="D25" s="383"/>
      <c r="E25" s="383"/>
      <c r="F25" s="383"/>
      <c r="G25" s="383"/>
    </row>
    <row r="26" spans="1:7">
      <c r="A26" s="383"/>
      <c r="B26" s="383"/>
      <c r="C26" s="383"/>
      <c r="D26" s="383"/>
      <c r="E26" s="383"/>
      <c r="F26" s="383"/>
      <c r="G26" s="383"/>
    </row>
    <row r="27" spans="1:7">
      <c r="A27" s="383"/>
      <c r="B27" s="383"/>
      <c r="C27" s="383"/>
      <c r="D27" s="383"/>
      <c r="E27" s="383"/>
      <c r="F27" s="383"/>
      <c r="G27" s="383"/>
    </row>
    <row r="28" spans="1:7">
      <c r="A28" s="383"/>
      <c r="B28" s="383"/>
      <c r="C28" s="383"/>
      <c r="D28" s="383"/>
      <c r="E28" s="383"/>
      <c r="F28" s="383"/>
      <c r="G28" s="383"/>
    </row>
    <row r="29" spans="1:7">
      <c r="A29" s="383"/>
      <c r="B29" s="383"/>
      <c r="C29" s="383"/>
      <c r="D29" s="383"/>
      <c r="E29" s="383"/>
      <c r="F29" s="383"/>
      <c r="G29" s="383"/>
    </row>
    <row r="30" spans="1:7">
      <c r="A30" s="383"/>
      <c r="B30" s="383"/>
      <c r="C30" s="383"/>
      <c r="D30" s="383"/>
      <c r="E30" s="383"/>
      <c r="F30" s="383"/>
      <c r="G30" s="383"/>
    </row>
    <row r="32" spans="1:7">
      <c r="A32" s="125" t="s">
        <v>2887</v>
      </c>
    </row>
    <row r="33" spans="1:7">
      <c r="A33" s="125" t="s">
        <v>2888</v>
      </c>
    </row>
    <row r="35" spans="1:7">
      <c r="A35" s="44" t="s">
        <v>3405</v>
      </c>
    </row>
    <row r="36" spans="1:7" ht="45">
      <c r="A36" s="160" t="s">
        <v>0</v>
      </c>
      <c r="B36" s="169" t="s">
        <v>3333</v>
      </c>
      <c r="C36" s="169" t="s">
        <v>3206</v>
      </c>
      <c r="D36" s="169" t="s">
        <v>3334</v>
      </c>
      <c r="E36" s="169" t="s">
        <v>6</v>
      </c>
    </row>
    <row r="37" spans="1:7">
      <c r="A37" s="128">
        <v>2007</v>
      </c>
      <c r="B37" s="190">
        <v>195688000</v>
      </c>
      <c r="C37" s="190">
        <v>34643000</v>
      </c>
      <c r="D37" s="190">
        <f>B37-C37</f>
        <v>161045000</v>
      </c>
      <c r="E37" t="s">
        <v>3410</v>
      </c>
    </row>
    <row r="38" spans="1:7">
      <c r="A38" s="128">
        <v>2008</v>
      </c>
      <c r="B38" s="190">
        <v>284941000</v>
      </c>
      <c r="C38" s="190">
        <v>27869000</v>
      </c>
      <c r="D38" s="190">
        <f t="shared" ref="D38:D41" si="0">B38-C38</f>
        <v>257072000</v>
      </c>
      <c r="E38" t="s">
        <v>3410</v>
      </c>
    </row>
    <row r="39" spans="1:7">
      <c r="A39" s="128">
        <v>2009</v>
      </c>
      <c r="B39" s="190">
        <v>285620000</v>
      </c>
      <c r="C39" s="190">
        <v>13233000</v>
      </c>
      <c r="D39" s="190">
        <f t="shared" si="0"/>
        <v>272387000</v>
      </c>
      <c r="E39" t="s">
        <v>3409</v>
      </c>
    </row>
    <row r="40" spans="1:7">
      <c r="A40" s="128">
        <v>2010</v>
      </c>
      <c r="B40" s="190">
        <v>281177000</v>
      </c>
      <c r="C40" s="190">
        <v>21770000</v>
      </c>
      <c r="D40" s="190">
        <f t="shared" si="0"/>
        <v>259407000</v>
      </c>
      <c r="E40" t="s">
        <v>3409</v>
      </c>
    </row>
    <row r="41" spans="1:7">
      <c r="A41" s="128">
        <v>2011</v>
      </c>
      <c r="B41" s="190">
        <v>238748000</v>
      </c>
      <c r="C41" s="190">
        <v>17375000</v>
      </c>
      <c r="D41" s="190">
        <f t="shared" si="0"/>
        <v>221373000</v>
      </c>
      <c r="E41" t="s">
        <v>3409</v>
      </c>
    </row>
    <row r="42" spans="1:7">
      <c r="A42" s="128">
        <v>2012</v>
      </c>
      <c r="B42" s="190">
        <v>209756000</v>
      </c>
      <c r="C42" s="190"/>
      <c r="D42" s="190">
        <f>B42</f>
        <v>209756000</v>
      </c>
      <c r="E42" t="s">
        <v>3409</v>
      </c>
    </row>
    <row r="43" spans="1:7">
      <c r="A43" s="128">
        <v>2013</v>
      </c>
      <c r="B43" s="190">
        <v>168811000</v>
      </c>
      <c r="C43" s="190"/>
      <c r="D43" s="190">
        <f t="shared" ref="D43:D45" si="1">B43</f>
        <v>168811000</v>
      </c>
      <c r="E43" t="s">
        <v>3409</v>
      </c>
    </row>
    <row r="44" spans="1:7">
      <c r="A44" s="128">
        <v>2014</v>
      </c>
      <c r="B44" s="190">
        <v>278807000</v>
      </c>
      <c r="C44" s="190"/>
      <c r="D44" s="190">
        <f t="shared" si="1"/>
        <v>278807000</v>
      </c>
      <c r="E44" t="s">
        <v>3409</v>
      </c>
    </row>
    <row r="45" spans="1:7">
      <c r="A45" s="128">
        <v>2015</v>
      </c>
      <c r="B45" s="190">
        <v>273300000</v>
      </c>
      <c r="C45" s="190"/>
      <c r="D45" s="190">
        <f t="shared" si="1"/>
        <v>273300000</v>
      </c>
      <c r="E45" t="s">
        <v>3409</v>
      </c>
      <c r="F45" s="127"/>
    </row>
    <row r="47" spans="1:7">
      <c r="A47" s="403" t="s">
        <v>2916</v>
      </c>
      <c r="B47" s="403"/>
      <c r="C47" s="403"/>
      <c r="D47" s="403"/>
      <c r="E47" s="403"/>
      <c r="F47" s="403"/>
      <c r="G47" s="403"/>
    </row>
    <row r="48" spans="1:7">
      <c r="A48" s="378" t="s">
        <v>3412</v>
      </c>
      <c r="B48" s="378"/>
      <c r="C48" s="378"/>
      <c r="D48" s="378"/>
      <c r="E48" s="378"/>
      <c r="F48" s="378"/>
      <c r="G48" s="378"/>
    </row>
    <row r="49" spans="1:7">
      <c r="A49" s="378"/>
      <c r="B49" s="378"/>
      <c r="C49" s="378"/>
      <c r="D49" s="378"/>
      <c r="E49" s="378"/>
      <c r="F49" s="378"/>
      <c r="G49" s="378"/>
    </row>
    <row r="50" spans="1:7">
      <c r="A50" s="378"/>
      <c r="B50" s="378"/>
      <c r="C50" s="378"/>
      <c r="D50" s="378"/>
      <c r="E50" s="378"/>
      <c r="F50" s="378"/>
      <c r="G50" s="378"/>
    </row>
    <row r="52" spans="1:7">
      <c r="A52" s="378" t="s">
        <v>3411</v>
      </c>
      <c r="B52" s="378"/>
      <c r="C52" s="378"/>
      <c r="D52" s="378"/>
      <c r="E52" s="378"/>
      <c r="F52" s="378"/>
      <c r="G52" s="378"/>
    </row>
    <row r="53" spans="1:7">
      <c r="A53" s="378"/>
      <c r="B53" s="378"/>
      <c r="C53" s="378"/>
      <c r="D53" s="378"/>
      <c r="E53" s="378"/>
      <c r="F53" s="378"/>
      <c r="G53" s="378"/>
    </row>
    <row r="54" spans="1:7">
      <c r="A54" s="291"/>
      <c r="B54" s="291"/>
      <c r="C54" s="291"/>
      <c r="D54" s="291"/>
      <c r="E54" s="291"/>
      <c r="F54" s="291"/>
      <c r="G54" s="291"/>
    </row>
    <row r="55" spans="1:7">
      <c r="A55" s="378" t="s">
        <v>3413</v>
      </c>
      <c r="B55" s="378"/>
      <c r="C55" s="378"/>
      <c r="D55" s="378"/>
      <c r="E55" s="378"/>
      <c r="F55" s="378"/>
      <c r="G55" s="378"/>
    </row>
    <row r="56" spans="1:7">
      <c r="A56" s="378"/>
      <c r="B56" s="378"/>
      <c r="C56" s="378"/>
      <c r="D56" s="378"/>
      <c r="E56" s="378"/>
      <c r="F56" s="378"/>
      <c r="G56" s="378"/>
    </row>
    <row r="57" spans="1:7">
      <c r="A57" s="378"/>
      <c r="B57" s="378"/>
      <c r="C57" s="378"/>
      <c r="D57" s="378"/>
      <c r="E57" s="378"/>
      <c r="F57" s="378"/>
      <c r="G57" s="378"/>
    </row>
    <row r="58" spans="1:7">
      <c r="A58" s="378"/>
      <c r="B58" s="378"/>
      <c r="C58" s="378"/>
      <c r="D58" s="378"/>
      <c r="E58" s="378"/>
      <c r="F58" s="378"/>
      <c r="G58" s="378"/>
    </row>
    <row r="59" spans="1:7">
      <c r="A59" s="291"/>
      <c r="B59" s="291"/>
      <c r="C59" s="291"/>
      <c r="D59" s="291"/>
      <c r="E59" s="291"/>
      <c r="F59" s="291"/>
      <c r="G59" s="291"/>
    </row>
    <row r="60" spans="1:7">
      <c r="A60" s="403" t="s">
        <v>3417</v>
      </c>
      <c r="B60" s="403"/>
      <c r="C60" s="403"/>
      <c r="D60" s="403"/>
      <c r="E60" s="403"/>
      <c r="F60" s="403"/>
      <c r="G60" s="403"/>
    </row>
    <row r="61" spans="1:7">
      <c r="A61" s="401" t="s">
        <v>3418</v>
      </c>
      <c r="B61" s="401"/>
      <c r="C61" s="401"/>
      <c r="D61" s="401"/>
      <c r="E61" s="401"/>
      <c r="F61" s="401"/>
      <c r="G61" s="401"/>
    </row>
    <row r="62" spans="1:7">
      <c r="A62" s="401"/>
      <c r="B62" s="401"/>
      <c r="C62" s="401"/>
      <c r="D62" s="401"/>
      <c r="E62" s="401"/>
      <c r="F62" s="401"/>
      <c r="G62" s="401"/>
    </row>
    <row r="63" spans="1:7">
      <c r="A63" s="378" t="s">
        <v>3416</v>
      </c>
      <c r="B63" s="378"/>
      <c r="C63" s="378"/>
      <c r="D63" s="378"/>
      <c r="E63" s="378"/>
      <c r="F63" s="378"/>
      <c r="G63" s="378"/>
    </row>
    <row r="64" spans="1:7">
      <c r="A64" s="378"/>
      <c r="B64" s="378"/>
      <c r="C64" s="378"/>
      <c r="D64" s="378"/>
      <c r="E64" s="378"/>
      <c r="F64" s="378"/>
      <c r="G64" s="378"/>
    </row>
    <row r="65" spans="1:8">
      <c r="A65" s="378"/>
      <c r="B65" s="378"/>
      <c r="C65" s="378"/>
      <c r="D65" s="378"/>
      <c r="E65" s="378"/>
      <c r="F65" s="378"/>
      <c r="G65" s="378"/>
    </row>
    <row r="66" spans="1:8">
      <c r="A66" s="378"/>
      <c r="B66" s="378"/>
      <c r="C66" s="378"/>
      <c r="D66" s="378"/>
      <c r="E66" s="378"/>
      <c r="F66" s="378"/>
      <c r="G66" s="378"/>
    </row>
    <row r="67" spans="1:8">
      <c r="A67" s="403" t="s">
        <v>3419</v>
      </c>
      <c r="B67" s="403"/>
      <c r="C67" s="403"/>
      <c r="D67" s="403"/>
      <c r="E67" s="403"/>
      <c r="F67" s="403"/>
      <c r="G67" s="403"/>
    </row>
    <row r="69" spans="1:8" ht="70" customHeight="1">
      <c r="A69" s="169" t="s">
        <v>0</v>
      </c>
      <c r="B69" s="169" t="s">
        <v>3207</v>
      </c>
      <c r="C69" s="169" t="s">
        <v>3332</v>
      </c>
      <c r="D69" s="169" t="s">
        <v>3208</v>
      </c>
      <c r="E69" s="169" t="s">
        <v>3209</v>
      </c>
      <c r="F69" s="169" t="s">
        <v>3210</v>
      </c>
      <c r="G69" s="169" t="s">
        <v>3212</v>
      </c>
      <c r="H69" s="169" t="s">
        <v>3211</v>
      </c>
    </row>
    <row r="70" spans="1:8">
      <c r="A70" s="128">
        <v>2007</v>
      </c>
      <c r="B70" s="190">
        <f>B37</f>
        <v>195688000</v>
      </c>
      <c r="C70" s="190">
        <f>C37</f>
        <v>34643000</v>
      </c>
      <c r="D70" s="190">
        <v>0</v>
      </c>
      <c r="E70" s="190">
        <f t="shared" ref="E70:E71" si="2">C70-D70</f>
        <v>34643000</v>
      </c>
      <c r="F70" s="205">
        <f>D70/B70</f>
        <v>0</v>
      </c>
      <c r="G70" s="190" t="s">
        <v>11</v>
      </c>
      <c r="H70" s="190">
        <f>B70-C70</f>
        <v>161045000</v>
      </c>
    </row>
    <row r="71" spans="1:8">
      <c r="A71" s="128">
        <v>2008</v>
      </c>
      <c r="B71" s="190">
        <f>B38</f>
        <v>284941000</v>
      </c>
      <c r="C71" s="190">
        <f>C38</f>
        <v>27869000</v>
      </c>
      <c r="D71" s="190">
        <v>0</v>
      </c>
      <c r="E71" s="190">
        <f t="shared" si="2"/>
        <v>27869000</v>
      </c>
      <c r="F71" s="205">
        <f t="shared" ref="F71:F74" si="3">D71/B71</f>
        <v>0</v>
      </c>
      <c r="G71" s="190" t="s">
        <v>11</v>
      </c>
      <c r="H71" s="190">
        <f t="shared" ref="H71:H74" si="4">B71-C71</f>
        <v>257072000</v>
      </c>
    </row>
    <row r="72" spans="1:8">
      <c r="A72" s="128">
        <v>2009</v>
      </c>
      <c r="B72" s="190">
        <f t="shared" ref="B72:B78" si="5">B39</f>
        <v>285620000</v>
      </c>
      <c r="C72" s="190">
        <v>29717000</v>
      </c>
      <c r="D72" s="190">
        <v>16532000</v>
      </c>
      <c r="E72" s="190">
        <f>C72-D72</f>
        <v>13185000</v>
      </c>
      <c r="F72" s="205">
        <f t="shared" si="3"/>
        <v>5.7881100763251876E-2</v>
      </c>
      <c r="G72" s="190" t="s">
        <v>11</v>
      </c>
      <c r="H72" s="190">
        <f t="shared" si="4"/>
        <v>255903000</v>
      </c>
    </row>
    <row r="73" spans="1:8">
      <c r="A73" s="128">
        <v>2010</v>
      </c>
      <c r="B73" s="190">
        <f t="shared" si="5"/>
        <v>281177000</v>
      </c>
      <c r="C73" s="190">
        <v>37363000</v>
      </c>
      <c r="D73" s="190">
        <v>15593000</v>
      </c>
      <c r="E73" s="190">
        <f>C73-D73</f>
        <v>21770000</v>
      </c>
      <c r="F73" s="205">
        <f t="shared" si="3"/>
        <v>5.5456171735241505E-2</v>
      </c>
      <c r="G73" s="190" t="s">
        <v>11</v>
      </c>
      <c r="H73" s="190">
        <f t="shared" si="4"/>
        <v>243814000</v>
      </c>
    </row>
    <row r="74" spans="1:8">
      <c r="A74" s="128">
        <v>2011</v>
      </c>
      <c r="B74" s="190">
        <f t="shared" si="5"/>
        <v>238748000</v>
      </c>
      <c r="C74" s="190">
        <v>41164000</v>
      </c>
      <c r="D74" s="190">
        <v>23789000</v>
      </c>
      <c r="E74" s="190">
        <f>C74-D74</f>
        <v>17375000</v>
      </c>
      <c r="F74" s="205">
        <f t="shared" si="3"/>
        <v>9.9640625261782301E-2</v>
      </c>
      <c r="G74" s="190" t="s">
        <v>11</v>
      </c>
      <c r="H74" s="190">
        <f t="shared" si="4"/>
        <v>197584000</v>
      </c>
    </row>
    <row r="75" spans="1:8">
      <c r="A75" s="128">
        <v>2012</v>
      </c>
      <c r="B75" s="190">
        <f t="shared" si="5"/>
        <v>209756000</v>
      </c>
      <c r="C75" s="190" t="s">
        <v>11</v>
      </c>
      <c r="D75" s="190" t="s">
        <v>11</v>
      </c>
      <c r="E75" s="190" t="s">
        <v>11</v>
      </c>
      <c r="F75" s="205"/>
      <c r="G75" s="190">
        <f>B75*0.1</f>
        <v>20975600</v>
      </c>
      <c r="H75" s="190">
        <f>B75-G75</f>
        <v>188780400</v>
      </c>
    </row>
    <row r="76" spans="1:8">
      <c r="A76" s="128">
        <v>2013</v>
      </c>
      <c r="B76" s="190">
        <f t="shared" si="5"/>
        <v>168811000</v>
      </c>
      <c r="C76" s="190" t="s">
        <v>11</v>
      </c>
      <c r="D76" s="190">
        <v>10884956</v>
      </c>
      <c r="E76" s="190" t="s">
        <v>11</v>
      </c>
      <c r="F76" s="205">
        <f t="shared" ref="F76:F77" si="6">D76/B76</f>
        <v>6.4480134588385835E-2</v>
      </c>
      <c r="G76" s="190" t="s">
        <v>11</v>
      </c>
      <c r="H76" s="190">
        <f>B76-D76</f>
        <v>157926044</v>
      </c>
    </row>
    <row r="77" spans="1:8">
      <c r="A77" s="128">
        <v>2014</v>
      </c>
      <c r="B77" s="190">
        <f t="shared" si="5"/>
        <v>278807000</v>
      </c>
      <c r="C77" s="190" t="s">
        <v>206</v>
      </c>
      <c r="D77" s="190">
        <f>D76+12300000</f>
        <v>23184956</v>
      </c>
      <c r="E77" s="190" t="s">
        <v>11</v>
      </c>
      <c r="F77" s="205">
        <f t="shared" si="6"/>
        <v>8.3157725595124937E-2</v>
      </c>
      <c r="G77" s="190" t="s">
        <v>11</v>
      </c>
      <c r="H77" s="190">
        <f>B77-D77</f>
        <v>255622044</v>
      </c>
    </row>
    <row r="78" spans="1:8">
      <c r="A78" s="128">
        <v>2015</v>
      </c>
      <c r="B78" s="190">
        <f t="shared" si="5"/>
        <v>273300000</v>
      </c>
      <c r="C78" s="190" t="s">
        <v>11</v>
      </c>
      <c r="D78" s="190" t="s">
        <v>11</v>
      </c>
      <c r="E78" s="190" t="s">
        <v>11</v>
      </c>
      <c r="F78" s="204"/>
      <c r="G78" s="190">
        <f>B78*0.1</f>
        <v>27330000</v>
      </c>
      <c r="H78" s="190">
        <f>B78-G78</f>
        <v>245970000</v>
      </c>
    </row>
    <row r="89" spans="1:7">
      <c r="A89" s="403" t="s">
        <v>3415</v>
      </c>
      <c r="B89" s="403"/>
      <c r="C89" s="403"/>
      <c r="D89" s="403"/>
      <c r="E89" s="403"/>
      <c r="F89" s="403"/>
      <c r="G89" s="403"/>
    </row>
    <row r="91" spans="1:7" ht="61" customHeight="1">
      <c r="A91" s="169" t="s">
        <v>0</v>
      </c>
      <c r="B91" s="169" t="s">
        <v>3213</v>
      </c>
      <c r="C91" s="169" t="s">
        <v>2917</v>
      </c>
      <c r="D91" s="201" t="s">
        <v>2922</v>
      </c>
      <c r="E91" s="176" t="s">
        <v>3331</v>
      </c>
    </row>
    <row r="92" spans="1:7">
      <c r="A92" s="128">
        <v>2007</v>
      </c>
      <c r="B92" s="190">
        <f>D70</f>
        <v>0</v>
      </c>
      <c r="C92" s="190">
        <f t="shared" ref="C92:C100" si="7">H70</f>
        <v>161045000</v>
      </c>
      <c r="D92" s="243">
        <f>C92*$H$110</f>
        <v>49416547.94520548</v>
      </c>
      <c r="E92" s="191">
        <f>SUM(B92,D92)</f>
        <v>49416547.94520548</v>
      </c>
    </row>
    <row r="93" spans="1:7">
      <c r="A93" s="128">
        <v>2008</v>
      </c>
      <c r="B93" s="190">
        <f>D71</f>
        <v>0</v>
      </c>
      <c r="C93" s="190">
        <f t="shared" si="7"/>
        <v>257072000</v>
      </c>
      <c r="D93" s="243">
        <f t="shared" ref="D93:D100" si="8">C93*$H$110</f>
        <v>78882367.123287678</v>
      </c>
      <c r="E93" s="191">
        <f t="shared" ref="E93:E100" si="9">SUM(B93,D93)</f>
        <v>78882367.123287678</v>
      </c>
    </row>
    <row r="94" spans="1:7">
      <c r="A94" s="128">
        <v>2009</v>
      </c>
      <c r="B94" s="190">
        <f>D72</f>
        <v>16532000</v>
      </c>
      <c r="C94" s="190">
        <f t="shared" si="7"/>
        <v>255903000</v>
      </c>
      <c r="D94" s="243">
        <f t="shared" si="8"/>
        <v>78523660.273972601</v>
      </c>
      <c r="E94" s="191">
        <f t="shared" si="9"/>
        <v>95055660.273972601</v>
      </c>
    </row>
    <row r="95" spans="1:7">
      <c r="A95" s="128">
        <v>2010</v>
      </c>
      <c r="B95" s="190">
        <f>D73</f>
        <v>15593000</v>
      </c>
      <c r="C95" s="190">
        <f t="shared" si="7"/>
        <v>243814000</v>
      </c>
      <c r="D95" s="243">
        <f t="shared" si="8"/>
        <v>74814158.904109597</v>
      </c>
      <c r="E95" s="191">
        <f t="shared" si="9"/>
        <v>90407158.904109597</v>
      </c>
    </row>
    <row r="96" spans="1:7">
      <c r="A96" s="128">
        <v>2011</v>
      </c>
      <c r="B96" s="190">
        <f>D74</f>
        <v>23789000</v>
      </c>
      <c r="C96" s="190">
        <f t="shared" si="7"/>
        <v>197584000</v>
      </c>
      <c r="D96" s="243">
        <f t="shared" si="8"/>
        <v>60628515.068493158</v>
      </c>
      <c r="E96" s="191">
        <f t="shared" si="9"/>
        <v>84417515.068493158</v>
      </c>
    </row>
    <row r="97" spans="1:10">
      <c r="A97" s="128">
        <v>2012</v>
      </c>
      <c r="B97" s="190">
        <f>G75</f>
        <v>20975600</v>
      </c>
      <c r="C97" s="190">
        <f t="shared" si="7"/>
        <v>188780400</v>
      </c>
      <c r="D97" s="243">
        <f t="shared" si="8"/>
        <v>57927136.438356169</v>
      </c>
      <c r="E97" s="191">
        <f t="shared" si="9"/>
        <v>78902736.438356161</v>
      </c>
    </row>
    <row r="98" spans="1:10">
      <c r="A98" s="128">
        <v>2013</v>
      </c>
      <c r="B98" s="190">
        <f>D76</f>
        <v>10884956</v>
      </c>
      <c r="C98" s="190">
        <f t="shared" si="7"/>
        <v>157926044</v>
      </c>
      <c r="D98" s="243">
        <f t="shared" si="8"/>
        <v>48459498.432876714</v>
      </c>
      <c r="E98" s="191">
        <f t="shared" si="9"/>
        <v>59344454.432876714</v>
      </c>
    </row>
    <row r="99" spans="1:10">
      <c r="A99" s="128">
        <v>2014</v>
      </c>
      <c r="B99" s="190">
        <f>D77</f>
        <v>23184956</v>
      </c>
      <c r="C99" s="190">
        <f t="shared" si="7"/>
        <v>255622044</v>
      </c>
      <c r="D99" s="243">
        <f t="shared" si="8"/>
        <v>78437449.117808223</v>
      </c>
      <c r="E99" s="191">
        <f t="shared" si="9"/>
        <v>101622405.11780822</v>
      </c>
    </row>
    <row r="100" spans="1:10">
      <c r="A100" s="128">
        <v>2015</v>
      </c>
      <c r="B100" s="190">
        <f>G78</f>
        <v>27330000</v>
      </c>
      <c r="C100" s="190">
        <f t="shared" si="7"/>
        <v>245970000</v>
      </c>
      <c r="D100" s="243">
        <f t="shared" si="8"/>
        <v>75475726.02739726</v>
      </c>
      <c r="E100" s="191">
        <f t="shared" si="9"/>
        <v>102805726.02739726</v>
      </c>
    </row>
    <row r="102" spans="1:10">
      <c r="A102" s="383" t="s">
        <v>3425</v>
      </c>
      <c r="B102" s="383"/>
      <c r="C102" s="383"/>
      <c r="D102" s="383"/>
      <c r="E102" s="383"/>
      <c r="F102" s="383"/>
      <c r="G102" s="383"/>
    </row>
    <row r="103" spans="1:10">
      <c r="A103" s="383"/>
      <c r="B103" s="383"/>
      <c r="C103" s="383"/>
      <c r="D103" s="383"/>
      <c r="E103" s="383"/>
      <c r="F103" s="383"/>
      <c r="G103" s="383"/>
    </row>
    <row r="104" spans="1:10">
      <c r="A104" s="383"/>
      <c r="B104" s="383"/>
      <c r="C104" s="383"/>
      <c r="D104" s="383"/>
      <c r="E104" s="383"/>
      <c r="F104" s="383"/>
      <c r="G104" s="383"/>
    </row>
    <row r="105" spans="1:10">
      <c r="A105" s="126"/>
    </row>
    <row r="106" spans="1:10">
      <c r="A106" s="126" t="s">
        <v>3420</v>
      </c>
    </row>
    <row r="107" spans="1:10" ht="30">
      <c r="A107" s="160" t="s">
        <v>0</v>
      </c>
      <c r="B107" s="169" t="s">
        <v>2918</v>
      </c>
      <c r="C107" s="169" t="s">
        <v>2919</v>
      </c>
      <c r="D107" s="169" t="s">
        <v>2825</v>
      </c>
      <c r="E107" s="169" t="s">
        <v>2920</v>
      </c>
      <c r="F107" s="169" t="s">
        <v>2921</v>
      </c>
      <c r="G107" s="176" t="s">
        <v>94</v>
      </c>
      <c r="H107" s="160" t="s">
        <v>3423</v>
      </c>
      <c r="I107" s="249" t="s">
        <v>3421</v>
      </c>
      <c r="J107" s="249" t="s">
        <v>3422</v>
      </c>
    </row>
    <row r="108" spans="1:10">
      <c r="A108" s="128">
        <v>2013</v>
      </c>
      <c r="B108" s="186">
        <v>118</v>
      </c>
      <c r="C108" s="186">
        <v>91</v>
      </c>
      <c r="D108" s="186">
        <v>39</v>
      </c>
      <c r="E108" s="186">
        <v>28</v>
      </c>
      <c r="F108" s="186">
        <v>29</v>
      </c>
      <c r="G108" s="187">
        <v>306</v>
      </c>
      <c r="H108" s="196">
        <f>C108/G108</f>
        <v>0.29738562091503268</v>
      </c>
      <c r="I108" s="205">
        <f>SUM(E108:F108)/G108</f>
        <v>0.18627450980392157</v>
      </c>
      <c r="J108" s="196">
        <f>1-I108</f>
        <v>0.81372549019607843</v>
      </c>
    </row>
    <row r="109" spans="1:10">
      <c r="A109" s="128">
        <v>2014</v>
      </c>
      <c r="B109" s="186">
        <v>134</v>
      </c>
      <c r="C109" s="186">
        <v>101</v>
      </c>
      <c r="D109" s="186">
        <v>38</v>
      </c>
      <c r="E109" s="186">
        <v>29</v>
      </c>
      <c r="F109" s="186">
        <v>33</v>
      </c>
      <c r="G109" s="187">
        <v>336</v>
      </c>
      <c r="H109" s="196">
        <f>C109/G109</f>
        <v>0.30059523809523808</v>
      </c>
      <c r="I109" s="205">
        <f t="shared" ref="I109:I110" si="10">SUM(E109:F109)/G109</f>
        <v>0.18452380952380953</v>
      </c>
      <c r="J109" s="196">
        <f t="shared" ref="J109:J110" si="11">1-I109</f>
        <v>0.81547619047619047</v>
      </c>
    </row>
    <row r="110" spans="1:10">
      <c r="A110" s="128">
        <v>2015</v>
      </c>
      <c r="B110" s="186">
        <v>140</v>
      </c>
      <c r="C110" s="186">
        <v>112</v>
      </c>
      <c r="D110" s="186">
        <v>42</v>
      </c>
      <c r="E110" s="186">
        <v>32</v>
      </c>
      <c r="F110" s="186">
        <v>29</v>
      </c>
      <c r="G110" s="187">
        <v>365</v>
      </c>
      <c r="H110" s="196">
        <f>C110/G110</f>
        <v>0.30684931506849317</v>
      </c>
      <c r="I110" s="205">
        <f t="shared" si="10"/>
        <v>0.16712328767123288</v>
      </c>
      <c r="J110" s="196">
        <f t="shared" si="11"/>
        <v>0.83287671232876714</v>
      </c>
    </row>
    <row r="112" spans="1:10">
      <c r="A112" s="378" t="s">
        <v>3414</v>
      </c>
      <c r="B112" s="378"/>
      <c r="C112" s="378"/>
      <c r="D112" s="378"/>
      <c r="E112" s="378"/>
      <c r="F112" s="378"/>
      <c r="G112" s="378"/>
    </row>
    <row r="113" spans="1:7">
      <c r="A113" s="378"/>
      <c r="B113" s="378"/>
      <c r="C113" s="378"/>
      <c r="D113" s="378"/>
      <c r="E113" s="378"/>
      <c r="F113" s="378"/>
      <c r="G113" s="378"/>
    </row>
    <row r="114" spans="1:7">
      <c r="A114" s="378"/>
      <c r="B114" s="378"/>
      <c r="C114" s="378"/>
      <c r="D114" s="378"/>
      <c r="E114" s="378"/>
      <c r="F114" s="378"/>
      <c r="G114" s="378"/>
    </row>
  </sheetData>
  <mergeCells count="15">
    <mergeCell ref="A15:G19"/>
    <mergeCell ref="A8:G12"/>
    <mergeCell ref="A112:G114"/>
    <mergeCell ref="A22:G22"/>
    <mergeCell ref="A67:G67"/>
    <mergeCell ref="A61:G62"/>
    <mergeCell ref="A63:G66"/>
    <mergeCell ref="A55:G58"/>
    <mergeCell ref="A102:G104"/>
    <mergeCell ref="A89:G89"/>
    <mergeCell ref="A60:G60"/>
    <mergeCell ref="A47:G47"/>
    <mergeCell ref="A52:G53"/>
    <mergeCell ref="A48:G50"/>
    <mergeCell ref="A25:G30"/>
  </mergeCells>
  <phoneticPr fontId="15" type="noConversion"/>
  <hyperlinks>
    <hyperlink ref="A32" r:id="rId1" location="history"/>
    <hyperlink ref="A33" r:id="rId2" location="&amp;panel1-1&amp;panel2-1"/>
  </hyperlinks>
  <pageMargins left="0.7" right="0.7" top="0.75" bottom="0.75" header="0.3" footer="0.3"/>
  <pageSetup orientation="landscape"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99"/>
  <sheetViews>
    <sheetView showGridLines="0" view="pageLayout" workbookViewId="0">
      <selection activeCell="A19" sqref="A19:F19"/>
    </sheetView>
  </sheetViews>
  <sheetFormatPr baseColWidth="10" defaultRowHeight="15" x14ac:dyDescent="0"/>
  <cols>
    <col min="1" max="1" width="8.6640625" customWidth="1"/>
    <col min="2" max="3" width="15.6640625" customWidth="1"/>
    <col min="4" max="11" width="15" customWidth="1"/>
    <col min="12" max="12" width="77.6640625" customWidth="1"/>
    <col min="13" max="13" width="42.83203125" customWidth="1"/>
    <col min="14" max="14" width="18.1640625" customWidth="1"/>
    <col min="15" max="15" width="21" customWidth="1"/>
  </cols>
  <sheetData>
    <row r="2" spans="1:6">
      <c r="A2" s="246" t="s">
        <v>2886</v>
      </c>
    </row>
    <row r="3" spans="1:6" ht="18">
      <c r="A3" s="147" t="str">
        <f>CONCATENATE(VLOOKUP($A$2,'Table of Contents'!$B:$E,4,FALSE)," ",$A$2)</f>
        <v>3.6 Rambus</v>
      </c>
    </row>
    <row r="4" spans="1:6">
      <c r="A4" t="str">
        <f>VLOOKUP($A$2,'Table of Contents'!$B:$E,3,FALSE)</f>
        <v>Public Corp</v>
      </c>
    </row>
    <row r="5" spans="1:6">
      <c r="A5" s="148" t="str">
        <f>VLOOKUP($A$2,'Table of Contents'!$B:$E,2,FALSE)</f>
        <v>Approximated</v>
      </c>
    </row>
    <row r="6" spans="1:6">
      <c r="A6" s="148"/>
    </row>
    <row r="7" spans="1:6">
      <c r="A7" s="44" t="s">
        <v>3031</v>
      </c>
    </row>
    <row r="8" spans="1:6">
      <c r="A8" s="383" t="s">
        <v>3439</v>
      </c>
      <c r="B8" s="383"/>
      <c r="C8" s="383"/>
      <c r="D8" s="383"/>
      <c r="E8" s="383"/>
      <c r="F8" s="383"/>
    </row>
    <row r="9" spans="1:6">
      <c r="A9" s="383"/>
      <c r="B9" s="383"/>
      <c r="C9" s="383"/>
      <c r="D9" s="383"/>
      <c r="E9" s="383"/>
      <c r="F9" s="383"/>
    </row>
    <row r="10" spans="1:6">
      <c r="A10" s="383"/>
      <c r="B10" s="383"/>
      <c r="C10" s="383"/>
      <c r="D10" s="383"/>
      <c r="E10" s="383"/>
      <c r="F10" s="383"/>
    </row>
    <row r="11" spans="1:6">
      <c r="A11" s="383"/>
      <c r="B11" s="383"/>
      <c r="C11" s="383"/>
      <c r="D11" s="383"/>
      <c r="E11" s="383"/>
      <c r="F11" s="383"/>
    </row>
    <row r="12" spans="1:6">
      <c r="A12" s="383"/>
      <c r="B12" s="383"/>
      <c r="C12" s="383"/>
      <c r="D12" s="383"/>
      <c r="E12" s="383"/>
      <c r="F12" s="383"/>
    </row>
    <row r="13" spans="1:6">
      <c r="A13" s="383"/>
      <c r="B13" s="383"/>
      <c r="C13" s="383"/>
      <c r="D13" s="383"/>
      <c r="E13" s="383"/>
      <c r="F13" s="383"/>
    </row>
    <row r="14" spans="1:6">
      <c r="A14" s="383"/>
      <c r="B14" s="383"/>
      <c r="C14" s="383"/>
      <c r="D14" s="383"/>
      <c r="E14" s="383"/>
      <c r="F14" s="383"/>
    </row>
    <row r="15" spans="1:6">
      <c r="A15" s="44" t="s">
        <v>3068</v>
      </c>
    </row>
    <row r="16" spans="1:6" ht="32" customHeight="1">
      <c r="A16" s="378" t="s">
        <v>3443</v>
      </c>
      <c r="B16" s="378"/>
      <c r="C16" s="378"/>
      <c r="D16" s="378"/>
      <c r="E16" s="378"/>
      <c r="F16" s="378"/>
    </row>
    <row r="18" spans="1:6">
      <c r="A18" s="44" t="s">
        <v>3067</v>
      </c>
    </row>
    <row r="19" spans="1:6" ht="33" customHeight="1">
      <c r="A19" s="398" t="s">
        <v>3440</v>
      </c>
      <c r="B19" s="398"/>
      <c r="C19" s="398"/>
      <c r="D19" s="398"/>
      <c r="E19" s="398"/>
      <c r="F19" s="398"/>
    </row>
    <row r="20" spans="1:6">
      <c r="A20" s="148"/>
    </row>
    <row r="21" spans="1:6">
      <c r="A21" s="44" t="s">
        <v>2092</v>
      </c>
    </row>
    <row r="22" spans="1:6" ht="80" customHeight="1">
      <c r="A22" s="392" t="s">
        <v>3442</v>
      </c>
      <c r="B22" s="392"/>
      <c r="C22" s="392"/>
      <c r="D22" s="392"/>
      <c r="E22" s="392"/>
      <c r="F22" s="392"/>
    </row>
    <row r="23" spans="1:6">
      <c r="A23" s="148"/>
    </row>
    <row r="24" spans="1:6" ht="97" customHeight="1">
      <c r="A24" s="392" t="s">
        <v>3441</v>
      </c>
      <c r="B24" s="392"/>
      <c r="C24" s="392"/>
      <c r="D24" s="392"/>
      <c r="E24" s="392"/>
      <c r="F24" s="392"/>
    </row>
    <row r="33" spans="1:12">
      <c r="A33" s="44" t="s">
        <v>3405</v>
      </c>
    </row>
    <row r="34" spans="1:12" ht="45">
      <c r="A34" s="160" t="s">
        <v>0</v>
      </c>
      <c r="B34" s="160" t="s">
        <v>2892</v>
      </c>
      <c r="C34" s="169" t="s">
        <v>3427</v>
      </c>
      <c r="D34" s="169" t="s">
        <v>3428</v>
      </c>
      <c r="E34" s="160" t="s">
        <v>6</v>
      </c>
    </row>
    <row r="35" spans="1:12">
      <c r="A35" s="296">
        <v>2007</v>
      </c>
      <c r="B35" s="186">
        <v>179940000</v>
      </c>
      <c r="C35" s="319"/>
      <c r="D35" s="186">
        <v>154300000</v>
      </c>
      <c r="E35" t="s">
        <v>3429</v>
      </c>
    </row>
    <row r="36" spans="1:12">
      <c r="A36" s="296">
        <v>2008</v>
      </c>
      <c r="B36" s="186">
        <v>142494000</v>
      </c>
      <c r="C36" s="319"/>
      <c r="D36" s="186">
        <v>126900000</v>
      </c>
      <c r="E36" t="s">
        <v>3429</v>
      </c>
    </row>
    <row r="37" spans="1:12">
      <c r="A37" s="296">
        <v>2009</v>
      </c>
      <c r="B37" s="186">
        <v>113007000</v>
      </c>
      <c r="C37" s="319"/>
      <c r="D37" s="186">
        <v>108000000</v>
      </c>
      <c r="E37" t="s">
        <v>3430</v>
      </c>
    </row>
    <row r="38" spans="1:12">
      <c r="A38" s="296">
        <v>2010</v>
      </c>
      <c r="B38" s="186">
        <v>323390000</v>
      </c>
      <c r="C38" s="319"/>
      <c r="D38" s="186">
        <v>320155000</v>
      </c>
      <c r="E38" t="s">
        <v>3431</v>
      </c>
    </row>
    <row r="39" spans="1:12">
      <c r="A39" s="296">
        <v>2011</v>
      </c>
      <c r="B39" s="186">
        <v>312363000</v>
      </c>
      <c r="C39" s="320">
        <v>0.96</v>
      </c>
      <c r="D39" s="190">
        <f>B39*C39</f>
        <v>299868480</v>
      </c>
      <c r="E39" t="s">
        <v>3432</v>
      </c>
    </row>
    <row r="40" spans="1:12">
      <c r="A40" s="296">
        <v>2012</v>
      </c>
      <c r="B40" s="186">
        <v>234051000</v>
      </c>
      <c r="C40" s="320">
        <v>0.99</v>
      </c>
      <c r="D40" s="190">
        <f>B40*C40</f>
        <v>231710490</v>
      </c>
      <c r="E40" t="s">
        <v>3432</v>
      </c>
    </row>
    <row r="41" spans="1:12">
      <c r="A41" s="296">
        <v>2013</v>
      </c>
      <c r="B41" s="186">
        <v>271501000</v>
      </c>
      <c r="C41" s="320">
        <v>0.97299999999999998</v>
      </c>
      <c r="D41" s="190">
        <f>B41*C41</f>
        <v>264170473</v>
      </c>
      <c r="E41" t="s">
        <v>3433</v>
      </c>
    </row>
    <row r="42" spans="1:12">
      <c r="A42" s="296">
        <v>2014</v>
      </c>
      <c r="B42" s="186">
        <v>296448000</v>
      </c>
      <c r="C42" s="320">
        <v>0.91600000000000004</v>
      </c>
      <c r="D42" s="190">
        <f>B42*C42</f>
        <v>271546368</v>
      </c>
      <c r="E42" t="s">
        <v>3434</v>
      </c>
    </row>
    <row r="43" spans="1:12">
      <c r="A43" s="296">
        <v>2015</v>
      </c>
      <c r="B43" s="186">
        <v>296278000</v>
      </c>
      <c r="C43" s="320">
        <v>0.88600000000000001</v>
      </c>
      <c r="D43" s="190">
        <f>B43*C43</f>
        <v>262502308</v>
      </c>
      <c r="E43" t="s">
        <v>3434</v>
      </c>
    </row>
    <row r="45" spans="1:12">
      <c r="A45" t="s">
        <v>2893</v>
      </c>
    </row>
    <row r="46" spans="1:12" ht="50" customHeight="1">
      <c r="A46" s="392" t="s">
        <v>3436</v>
      </c>
      <c r="B46" s="392"/>
      <c r="C46" s="392"/>
      <c r="D46" s="392"/>
      <c r="E46" s="392"/>
      <c r="F46" s="392"/>
    </row>
    <row r="47" spans="1:12" ht="58" customHeight="1">
      <c r="A47" s="169" t="s">
        <v>0</v>
      </c>
      <c r="B47" s="169" t="s">
        <v>2894</v>
      </c>
      <c r="C47" s="169" t="s">
        <v>2895</v>
      </c>
      <c r="D47" s="318" t="s">
        <v>2900</v>
      </c>
      <c r="E47" s="318" t="s">
        <v>2901</v>
      </c>
      <c r="F47" s="318" t="s">
        <v>2902</v>
      </c>
      <c r="G47" s="318" t="s">
        <v>2896</v>
      </c>
      <c r="H47" s="318" t="s">
        <v>2897</v>
      </c>
      <c r="I47" s="318" t="s">
        <v>2898</v>
      </c>
      <c r="J47" s="318" t="s">
        <v>2903</v>
      </c>
      <c r="K47" s="318" t="s">
        <v>2904</v>
      </c>
      <c r="L47" s="160"/>
    </row>
    <row r="48" spans="1:12">
      <c r="A48" s="296">
        <v>2010</v>
      </c>
      <c r="B48" s="296">
        <v>2</v>
      </c>
      <c r="C48" s="296">
        <v>10.78</v>
      </c>
      <c r="D48" s="296"/>
      <c r="E48" s="296"/>
      <c r="F48" s="296"/>
      <c r="G48" s="296"/>
      <c r="H48" s="296"/>
      <c r="I48" s="296"/>
      <c r="J48" s="296"/>
      <c r="K48" s="296"/>
    </row>
    <row r="49" spans="1:11">
      <c r="A49" s="296">
        <v>2010</v>
      </c>
      <c r="B49" s="296">
        <v>3</v>
      </c>
      <c r="C49" s="296">
        <v>10.72</v>
      </c>
      <c r="D49" s="296"/>
      <c r="E49" s="296"/>
      <c r="F49" s="296"/>
      <c r="G49" s="296"/>
      <c r="H49" s="296"/>
      <c r="I49" s="296"/>
      <c r="J49" s="296"/>
      <c r="K49" s="296"/>
    </row>
    <row r="50" spans="1:11">
      <c r="A50" s="296">
        <v>2010</v>
      </c>
      <c r="B50" s="296">
        <v>4</v>
      </c>
      <c r="C50" s="296">
        <v>8.7799999999999994</v>
      </c>
      <c r="D50" s="296"/>
      <c r="E50" s="296"/>
      <c r="F50" s="296"/>
      <c r="G50" s="296"/>
      <c r="H50" s="296"/>
      <c r="I50" s="296"/>
      <c r="J50" s="296"/>
      <c r="K50" s="296"/>
    </row>
    <row r="51" spans="1:11">
      <c r="A51" s="296">
        <v>2011</v>
      </c>
      <c r="B51" s="296">
        <v>1</v>
      </c>
      <c r="C51" s="296">
        <v>8.2899999999999991</v>
      </c>
      <c r="D51" s="296"/>
      <c r="E51" s="296"/>
      <c r="F51" s="296"/>
      <c r="G51" s="296"/>
      <c r="H51" s="296"/>
      <c r="I51" s="296"/>
      <c r="J51" s="296"/>
      <c r="K51" s="296"/>
    </row>
    <row r="52" spans="1:11">
      <c r="A52" s="296">
        <v>2011</v>
      </c>
      <c r="B52" s="296">
        <v>2</v>
      </c>
      <c r="C52" s="296">
        <v>8.0500000000000007</v>
      </c>
      <c r="D52" s="296"/>
      <c r="E52" s="296"/>
      <c r="F52" s="296"/>
      <c r="G52" s="296"/>
      <c r="H52" s="296"/>
      <c r="I52" s="296"/>
      <c r="J52" s="296"/>
      <c r="K52" s="296"/>
    </row>
    <row r="53" spans="1:11">
      <c r="A53" s="296">
        <v>2011</v>
      </c>
      <c r="B53" s="296">
        <v>3</v>
      </c>
      <c r="C53" s="296">
        <v>6.79</v>
      </c>
      <c r="D53" s="296"/>
      <c r="E53" s="296"/>
      <c r="F53" s="296"/>
      <c r="G53" s="296"/>
      <c r="H53" s="296"/>
      <c r="I53" s="296"/>
      <c r="J53" s="296"/>
      <c r="K53" s="296"/>
    </row>
    <row r="54" spans="1:11">
      <c r="A54" s="296">
        <v>2011</v>
      </c>
      <c r="B54" s="296">
        <v>4</v>
      </c>
      <c r="C54" s="296">
        <v>6.5</v>
      </c>
      <c r="D54" s="296"/>
      <c r="E54" s="296"/>
      <c r="F54" s="296"/>
      <c r="G54" s="296"/>
      <c r="H54" s="296"/>
      <c r="I54" s="296"/>
      <c r="J54" s="296"/>
      <c r="K54" s="296"/>
    </row>
    <row r="55" spans="1:11">
      <c r="A55" s="296">
        <v>2012</v>
      </c>
      <c r="B55" s="296">
        <v>1</v>
      </c>
      <c r="C55" s="296">
        <v>6.3</v>
      </c>
      <c r="D55" s="316">
        <v>1039</v>
      </c>
      <c r="E55" s="316">
        <v>256</v>
      </c>
      <c r="F55" s="316">
        <v>87</v>
      </c>
      <c r="G55" s="317" t="s">
        <v>2899</v>
      </c>
      <c r="H55" s="316">
        <v>330</v>
      </c>
      <c r="I55" s="316">
        <v>29</v>
      </c>
      <c r="J55" s="315">
        <f>SUM(D55:I55)</f>
        <v>1741</v>
      </c>
      <c r="K55" s="197">
        <f>(J55*1000000)/(C55*1000000000)</f>
        <v>0.27634920634920634</v>
      </c>
    </row>
    <row r="56" spans="1:11">
      <c r="A56" s="296">
        <v>2012</v>
      </c>
      <c r="B56" s="296">
        <v>2</v>
      </c>
      <c r="C56" s="296">
        <v>7</v>
      </c>
      <c r="D56" s="316">
        <v>1166</v>
      </c>
      <c r="E56" s="316">
        <v>273</v>
      </c>
      <c r="F56" s="316">
        <v>131</v>
      </c>
      <c r="G56" s="316">
        <v>7</v>
      </c>
      <c r="H56" s="316">
        <v>351</v>
      </c>
      <c r="I56" s="316">
        <v>39</v>
      </c>
      <c r="J56" s="315">
        <f t="shared" ref="J56:J70" si="0">SUM(D56:I56)</f>
        <v>1967</v>
      </c>
      <c r="K56" s="197">
        <f t="shared" ref="K56:K70" si="1">(J56*1000000)/(C56*1000000000)</f>
        <v>0.28100000000000003</v>
      </c>
    </row>
    <row r="57" spans="1:11">
      <c r="A57" s="296">
        <v>2012</v>
      </c>
      <c r="B57" s="296">
        <v>3</v>
      </c>
      <c r="C57" s="296">
        <v>6.4</v>
      </c>
      <c r="D57" s="316">
        <v>1182</v>
      </c>
      <c r="E57" s="316">
        <v>470</v>
      </c>
      <c r="F57" s="316">
        <v>96</v>
      </c>
      <c r="G57" s="316">
        <v>4</v>
      </c>
      <c r="H57" s="316">
        <v>479</v>
      </c>
      <c r="I57" s="316">
        <v>29</v>
      </c>
      <c r="J57" s="315">
        <f t="shared" si="0"/>
        <v>2260</v>
      </c>
      <c r="K57" s="197">
        <f t="shared" si="1"/>
        <v>0.35312500000000002</v>
      </c>
    </row>
    <row r="58" spans="1:11">
      <c r="A58" s="296">
        <v>2012</v>
      </c>
      <c r="B58" s="296">
        <v>4</v>
      </c>
      <c r="C58" s="296">
        <v>6.7</v>
      </c>
      <c r="D58" s="316">
        <v>1501</v>
      </c>
      <c r="E58" s="316">
        <v>523</v>
      </c>
      <c r="F58" s="316">
        <v>36</v>
      </c>
      <c r="G58" s="316">
        <v>7</v>
      </c>
      <c r="H58" s="316">
        <v>654</v>
      </c>
      <c r="I58" s="316">
        <v>24</v>
      </c>
      <c r="J58" s="315">
        <f t="shared" si="0"/>
        <v>2745</v>
      </c>
      <c r="K58" s="197">
        <f t="shared" si="1"/>
        <v>0.40970149253731342</v>
      </c>
    </row>
    <row r="59" spans="1:11">
      <c r="A59" s="296">
        <v>2013</v>
      </c>
      <c r="B59" s="296">
        <v>1</v>
      </c>
      <c r="C59" s="296">
        <v>7.1</v>
      </c>
      <c r="D59" s="316">
        <v>1453</v>
      </c>
      <c r="E59" s="316">
        <v>482</v>
      </c>
      <c r="F59" s="316">
        <v>71</v>
      </c>
      <c r="G59" s="316">
        <v>3</v>
      </c>
      <c r="H59" s="316">
        <v>564</v>
      </c>
      <c r="I59" s="316">
        <v>29</v>
      </c>
      <c r="J59" s="315">
        <f t="shared" si="0"/>
        <v>2602</v>
      </c>
      <c r="K59" s="197">
        <f t="shared" si="1"/>
        <v>0.36647887323943662</v>
      </c>
    </row>
    <row r="60" spans="1:11">
      <c r="A60" s="296">
        <v>2013</v>
      </c>
      <c r="B60" s="296">
        <v>2</v>
      </c>
      <c r="C60" s="296">
        <v>8.5299999999999994</v>
      </c>
      <c r="D60" s="316">
        <v>1453</v>
      </c>
      <c r="E60" s="316">
        <v>559</v>
      </c>
      <c r="F60" s="316">
        <v>99</v>
      </c>
      <c r="G60" s="316">
        <v>8</v>
      </c>
      <c r="H60" s="316">
        <v>742</v>
      </c>
      <c r="I60" s="316">
        <v>30</v>
      </c>
      <c r="J60" s="315">
        <f t="shared" si="0"/>
        <v>2891</v>
      </c>
      <c r="K60" s="197">
        <f t="shared" si="1"/>
        <v>0.33892145369284882</v>
      </c>
    </row>
    <row r="61" spans="1:11">
      <c r="A61" s="296">
        <v>2013</v>
      </c>
      <c r="B61" s="296">
        <v>3</v>
      </c>
      <c r="C61" s="296">
        <v>9.3000000000000007</v>
      </c>
      <c r="D61" s="316">
        <v>1689</v>
      </c>
      <c r="E61" s="317" t="s">
        <v>2899</v>
      </c>
      <c r="F61" s="316">
        <v>728</v>
      </c>
      <c r="G61" s="316">
        <v>31</v>
      </c>
      <c r="H61" s="316">
        <v>822</v>
      </c>
      <c r="I61" s="316">
        <v>24</v>
      </c>
      <c r="J61" s="315">
        <f t="shared" si="0"/>
        <v>3294</v>
      </c>
      <c r="K61" s="197">
        <f t="shared" si="1"/>
        <v>0.35419354838709677</v>
      </c>
    </row>
    <row r="62" spans="1:11">
      <c r="A62" s="296">
        <v>2013</v>
      </c>
      <c r="B62" s="296">
        <v>4</v>
      </c>
      <c r="C62" s="296">
        <v>9.75</v>
      </c>
      <c r="D62" s="316">
        <v>1486</v>
      </c>
      <c r="E62" s="317" t="s">
        <v>2899</v>
      </c>
      <c r="F62" s="316">
        <v>699</v>
      </c>
      <c r="G62" s="316">
        <v>42</v>
      </c>
      <c r="H62" s="316">
        <v>788</v>
      </c>
      <c r="I62" s="316">
        <v>25</v>
      </c>
      <c r="J62" s="315">
        <f t="shared" si="0"/>
        <v>3040</v>
      </c>
      <c r="K62" s="197">
        <f t="shared" si="1"/>
        <v>0.31179487179487181</v>
      </c>
    </row>
    <row r="63" spans="1:11">
      <c r="A63" s="296">
        <v>2014</v>
      </c>
      <c r="B63" s="296">
        <v>1</v>
      </c>
      <c r="C63" s="296">
        <v>9.94</v>
      </c>
      <c r="D63" s="316">
        <v>1341</v>
      </c>
      <c r="E63" s="317" t="s">
        <v>2899</v>
      </c>
      <c r="F63" s="316">
        <v>780</v>
      </c>
      <c r="G63" s="316">
        <v>39</v>
      </c>
      <c r="H63" s="316">
        <v>728</v>
      </c>
      <c r="I63" s="316">
        <v>28</v>
      </c>
      <c r="J63" s="315">
        <f t="shared" si="0"/>
        <v>2916</v>
      </c>
      <c r="K63" s="197">
        <f t="shared" si="1"/>
        <v>0.29336016096579476</v>
      </c>
    </row>
    <row r="64" spans="1:11">
      <c r="A64" s="296">
        <v>2014</v>
      </c>
      <c r="B64" s="296">
        <v>2</v>
      </c>
      <c r="C64" s="296">
        <v>10.83</v>
      </c>
      <c r="D64" s="316">
        <v>1483</v>
      </c>
      <c r="E64" s="317" t="s">
        <v>2899</v>
      </c>
      <c r="F64" s="316">
        <v>737</v>
      </c>
      <c r="G64" s="316">
        <v>31</v>
      </c>
      <c r="H64" s="316">
        <v>981</v>
      </c>
      <c r="I64" s="316">
        <v>34</v>
      </c>
      <c r="J64" s="315">
        <f t="shared" si="0"/>
        <v>3266</v>
      </c>
      <c r="K64" s="197">
        <f t="shared" si="1"/>
        <v>0.30156971375807939</v>
      </c>
    </row>
    <row r="65" spans="1:11">
      <c r="A65" s="296">
        <v>2014</v>
      </c>
      <c r="B65" s="296">
        <v>3</v>
      </c>
      <c r="C65" s="296">
        <v>12.03</v>
      </c>
      <c r="D65" s="316">
        <v>1757</v>
      </c>
      <c r="E65" s="317" t="s">
        <v>2899</v>
      </c>
      <c r="F65" s="316">
        <v>657</v>
      </c>
      <c r="G65" s="316">
        <v>62</v>
      </c>
      <c r="H65" s="316">
        <v>957</v>
      </c>
      <c r="I65" s="316">
        <v>30</v>
      </c>
      <c r="J65" s="315">
        <f t="shared" si="0"/>
        <v>3463</v>
      </c>
      <c r="K65" s="197">
        <f t="shared" si="1"/>
        <v>0.28786367414796343</v>
      </c>
    </row>
    <row r="66" spans="1:11">
      <c r="A66" s="296">
        <v>2014</v>
      </c>
      <c r="B66" s="296">
        <v>4</v>
      </c>
      <c r="C66" s="296">
        <v>12.98</v>
      </c>
      <c r="D66" s="316">
        <v>1665</v>
      </c>
      <c r="E66" s="317" t="s">
        <v>2899</v>
      </c>
      <c r="F66" s="316">
        <v>840</v>
      </c>
      <c r="G66" s="316">
        <v>63</v>
      </c>
      <c r="H66" s="316">
        <v>1009</v>
      </c>
      <c r="I66" s="316">
        <v>31</v>
      </c>
      <c r="J66" s="315">
        <f t="shared" si="0"/>
        <v>3608</v>
      </c>
      <c r="K66" s="197">
        <f t="shared" si="1"/>
        <v>0.27796610169491526</v>
      </c>
    </row>
    <row r="67" spans="1:11">
      <c r="A67" s="296">
        <v>2015</v>
      </c>
      <c r="B67" s="296">
        <v>1</v>
      </c>
      <c r="C67" s="296">
        <v>12.01</v>
      </c>
      <c r="D67" s="316">
        <v>1863</v>
      </c>
      <c r="E67" s="317" t="s">
        <v>2899</v>
      </c>
      <c r="F67" s="316">
        <v>809</v>
      </c>
      <c r="G67" s="316">
        <v>50</v>
      </c>
      <c r="H67" s="316">
        <v>820</v>
      </c>
      <c r="I67" s="316">
        <v>33</v>
      </c>
      <c r="J67" s="315">
        <f t="shared" si="0"/>
        <v>3575</v>
      </c>
      <c r="K67" s="197">
        <f t="shared" si="1"/>
        <v>0.29766860949208995</v>
      </c>
    </row>
    <row r="68" spans="1:11">
      <c r="A68" s="296">
        <v>2015</v>
      </c>
      <c r="B68" s="296">
        <v>2</v>
      </c>
      <c r="C68" s="296">
        <v>11.44</v>
      </c>
      <c r="D68" s="316">
        <v>2219</v>
      </c>
      <c r="E68" s="317" t="s">
        <v>2899</v>
      </c>
      <c r="F68" s="316">
        <v>637</v>
      </c>
      <c r="G68" s="316">
        <v>47</v>
      </c>
      <c r="H68" s="316">
        <v>920</v>
      </c>
      <c r="I68" s="316">
        <v>28</v>
      </c>
      <c r="J68" s="315">
        <f t="shared" si="0"/>
        <v>3851</v>
      </c>
      <c r="K68" s="197">
        <f t="shared" si="1"/>
        <v>0.33662587412587414</v>
      </c>
    </row>
    <row r="69" spans="1:11">
      <c r="A69" s="296">
        <v>2015</v>
      </c>
      <c r="B69" s="296">
        <v>3</v>
      </c>
      <c r="C69" s="296">
        <v>11.3</v>
      </c>
      <c r="D69" s="316">
        <v>2586</v>
      </c>
      <c r="E69" s="317" t="s">
        <v>2899</v>
      </c>
      <c r="F69" s="316">
        <v>695</v>
      </c>
      <c r="G69" s="316">
        <v>40</v>
      </c>
      <c r="H69" s="316">
        <v>1200</v>
      </c>
      <c r="I69" s="316">
        <v>24</v>
      </c>
      <c r="J69" s="315">
        <f t="shared" si="0"/>
        <v>4545</v>
      </c>
      <c r="K69" s="197">
        <f t="shared" si="1"/>
        <v>0.402212389380531</v>
      </c>
    </row>
    <row r="70" spans="1:11">
      <c r="A70" s="296">
        <v>2015</v>
      </c>
      <c r="B70" s="296">
        <v>4</v>
      </c>
      <c r="C70" s="296">
        <v>10.27</v>
      </c>
      <c r="D70" s="316">
        <v>2619</v>
      </c>
      <c r="E70" s="317" t="s">
        <v>2899</v>
      </c>
      <c r="F70" s="316">
        <v>642</v>
      </c>
      <c r="G70" s="316">
        <v>33</v>
      </c>
      <c r="H70" s="316">
        <v>1175</v>
      </c>
      <c r="I70" s="316">
        <v>29</v>
      </c>
      <c r="J70" s="315">
        <f t="shared" si="0"/>
        <v>4498</v>
      </c>
      <c r="K70" s="197">
        <f t="shared" si="1"/>
        <v>0.4379746835443038</v>
      </c>
    </row>
    <row r="71" spans="1:11">
      <c r="A71" s="296">
        <v>2016</v>
      </c>
      <c r="B71" s="296">
        <v>1</v>
      </c>
      <c r="C71" s="296">
        <v>8.56</v>
      </c>
      <c r="D71" s="296"/>
      <c r="E71" s="296"/>
      <c r="F71" s="296"/>
      <c r="G71" s="296"/>
      <c r="H71" s="296"/>
      <c r="I71" s="296"/>
      <c r="J71" s="296"/>
      <c r="K71" s="296"/>
    </row>
    <row r="72" spans="1:11">
      <c r="A72" s="125" t="s">
        <v>3437</v>
      </c>
      <c r="B72" s="296"/>
      <c r="C72" s="296"/>
      <c r="D72" s="296"/>
      <c r="E72" s="296"/>
      <c r="F72" s="296"/>
      <c r="G72" s="296"/>
      <c r="H72" s="296"/>
      <c r="I72" s="296"/>
      <c r="J72" s="296"/>
      <c r="K72" s="296"/>
    </row>
    <row r="73" spans="1:11">
      <c r="A73" s="125" t="s">
        <v>3438</v>
      </c>
      <c r="B73" s="296"/>
      <c r="C73" s="296"/>
      <c r="D73" s="296"/>
      <c r="E73" s="296"/>
      <c r="F73" s="296"/>
      <c r="G73" s="296"/>
      <c r="H73" s="296"/>
      <c r="I73" s="296"/>
      <c r="J73" s="296"/>
      <c r="K73" s="296"/>
    </row>
    <row r="74" spans="1:11">
      <c r="A74" t="s">
        <v>11</v>
      </c>
      <c r="B74" t="s">
        <v>11</v>
      </c>
    </row>
    <row r="75" spans="1:11">
      <c r="A75" t="s">
        <v>2905</v>
      </c>
    </row>
    <row r="77" spans="1:11" ht="51" customHeight="1">
      <c r="A77" s="160" t="s">
        <v>0</v>
      </c>
      <c r="B77" s="169" t="s">
        <v>2906</v>
      </c>
      <c r="C77" s="169" t="s">
        <v>2907</v>
      </c>
      <c r="D77" s="169" t="s">
        <v>2908</v>
      </c>
      <c r="E77" s="291"/>
    </row>
    <row r="78" spans="1:11">
      <c r="A78" s="296">
        <v>2007</v>
      </c>
      <c r="B78" s="296"/>
      <c r="C78" s="296"/>
      <c r="D78" s="293" t="s">
        <v>2911</v>
      </c>
    </row>
    <row r="79" spans="1:11">
      <c r="A79" s="296">
        <v>2008</v>
      </c>
      <c r="B79" s="296"/>
      <c r="C79" s="296"/>
      <c r="D79" s="293" t="s">
        <v>2913</v>
      </c>
    </row>
    <row r="80" spans="1:11">
      <c r="A80" s="296">
        <v>2009</v>
      </c>
      <c r="B80" s="296"/>
      <c r="C80" s="296"/>
      <c r="D80" s="293" t="s">
        <v>2912</v>
      </c>
    </row>
    <row r="81" spans="1:6">
      <c r="A81" s="296">
        <v>2010</v>
      </c>
      <c r="B81" s="296"/>
      <c r="C81" s="296"/>
      <c r="D81" s="293" t="s">
        <v>2914</v>
      </c>
    </row>
    <row r="82" spans="1:6">
      <c r="A82" s="296">
        <v>2011</v>
      </c>
      <c r="B82" s="296"/>
      <c r="C82" s="296"/>
      <c r="D82" s="293" t="s">
        <v>2915</v>
      </c>
    </row>
    <row r="83" spans="1:6">
      <c r="A83" s="296">
        <v>2012</v>
      </c>
      <c r="B83" s="186">
        <f>SUM(C55:C58)*1000000000</f>
        <v>26400000000.000004</v>
      </c>
      <c r="C83" s="186">
        <f>SUM(J55:J58)*1000000</f>
        <v>8713000000</v>
      </c>
      <c r="D83" s="196">
        <f>C83/B83</f>
        <v>0.33003787878787871</v>
      </c>
    </row>
    <row r="84" spans="1:6">
      <c r="A84" s="296">
        <v>2013</v>
      </c>
      <c r="B84" s="186">
        <f>SUM(C59:C62)*1000000000</f>
        <v>34680000000</v>
      </c>
      <c r="C84" s="186">
        <f>SUM(J59:J62)*1000000</f>
        <v>11827000000</v>
      </c>
      <c r="D84" s="196">
        <f t="shared" ref="D84:D86" si="2">C84/B84</f>
        <v>0.34103229527104961</v>
      </c>
    </row>
    <row r="85" spans="1:6">
      <c r="A85" s="296">
        <v>2014</v>
      </c>
      <c r="B85" s="186">
        <f>SUM(C63:C66)*1000000000</f>
        <v>45780000000</v>
      </c>
      <c r="C85" s="186">
        <f>SUM(J63:J66)*1000000</f>
        <v>13253000000</v>
      </c>
      <c r="D85" s="196">
        <f t="shared" si="2"/>
        <v>0.28949322848405418</v>
      </c>
    </row>
    <row r="86" spans="1:6">
      <c r="A86" s="296">
        <v>2015</v>
      </c>
      <c r="B86" s="186">
        <f>SUM(C67:C70)*1000000000</f>
        <v>45019999999.999992</v>
      </c>
      <c r="C86" s="186">
        <f>SUM(J67:J70)*1000000</f>
        <v>16469000000</v>
      </c>
      <c r="D86" s="196">
        <f t="shared" si="2"/>
        <v>0.36581519324744566</v>
      </c>
    </row>
    <row r="88" spans="1:6" ht="32" customHeight="1">
      <c r="A88" s="378" t="s">
        <v>3435</v>
      </c>
      <c r="B88" s="378"/>
      <c r="C88" s="378"/>
      <c r="D88" s="378"/>
      <c r="E88" s="378"/>
      <c r="F88" s="378"/>
    </row>
    <row r="90" spans="1:6" ht="52" customHeight="1">
      <c r="A90" s="160" t="s">
        <v>0</v>
      </c>
      <c r="B90" s="169" t="s">
        <v>2892</v>
      </c>
      <c r="C90" s="169" t="s">
        <v>3426</v>
      </c>
      <c r="D90" s="169" t="s">
        <v>2776</v>
      </c>
      <c r="E90" s="169" t="s">
        <v>2909</v>
      </c>
      <c r="F90" s="169" t="s">
        <v>2910</v>
      </c>
    </row>
    <row r="91" spans="1:6">
      <c r="A91" s="296">
        <v>2007</v>
      </c>
      <c r="B91" s="186">
        <f t="shared" ref="B91:B99" si="3">B35</f>
        <v>179940000</v>
      </c>
      <c r="C91" s="320"/>
      <c r="D91" s="186">
        <f>D35</f>
        <v>154300000</v>
      </c>
      <c r="E91" s="196">
        <v>0.33</v>
      </c>
      <c r="F91" s="186">
        <f t="shared" ref="F91:F94" si="4">D91*E91</f>
        <v>50919000</v>
      </c>
    </row>
    <row r="92" spans="1:6">
      <c r="A92" s="296">
        <v>2008</v>
      </c>
      <c r="B92" s="186">
        <f t="shared" si="3"/>
        <v>142494000</v>
      </c>
      <c r="C92" s="320"/>
      <c r="D92" s="186">
        <f t="shared" ref="D92:D96" si="5">D36</f>
        <v>126900000</v>
      </c>
      <c r="E92" s="196">
        <v>0.33</v>
      </c>
      <c r="F92" s="186">
        <f t="shared" si="4"/>
        <v>41877000</v>
      </c>
    </row>
    <row r="93" spans="1:6">
      <c r="A93" s="296">
        <v>2009</v>
      </c>
      <c r="B93" s="186">
        <f t="shared" si="3"/>
        <v>113007000</v>
      </c>
      <c r="C93" s="320"/>
      <c r="D93" s="186">
        <f t="shared" si="5"/>
        <v>108000000</v>
      </c>
      <c r="E93" s="196">
        <v>0.33</v>
      </c>
      <c r="F93" s="186">
        <f t="shared" si="4"/>
        <v>35640000</v>
      </c>
    </row>
    <row r="94" spans="1:6">
      <c r="A94" s="296">
        <v>2010</v>
      </c>
      <c r="B94" s="186">
        <f t="shared" si="3"/>
        <v>323390000</v>
      </c>
      <c r="C94" s="320"/>
      <c r="D94" s="186">
        <f t="shared" si="5"/>
        <v>320155000</v>
      </c>
      <c r="E94" s="196">
        <v>0.33</v>
      </c>
      <c r="F94" s="186">
        <f t="shared" si="4"/>
        <v>105651150</v>
      </c>
    </row>
    <row r="95" spans="1:6">
      <c r="A95" s="296">
        <v>2011</v>
      </c>
      <c r="B95" s="186">
        <f t="shared" si="3"/>
        <v>312363000</v>
      </c>
      <c r="C95" s="320">
        <f>C39</f>
        <v>0.96</v>
      </c>
      <c r="D95" s="186">
        <f t="shared" si="5"/>
        <v>299868480</v>
      </c>
      <c r="E95" s="196">
        <v>0.33</v>
      </c>
      <c r="F95" s="186">
        <f>D95*E95</f>
        <v>98956598.400000006</v>
      </c>
    </row>
    <row r="96" spans="1:6">
      <c r="A96" s="296">
        <v>2012</v>
      </c>
      <c r="B96" s="186">
        <f t="shared" si="3"/>
        <v>234051000</v>
      </c>
      <c r="C96" s="320">
        <f>C40</f>
        <v>0.99</v>
      </c>
      <c r="D96" s="186">
        <f t="shared" si="5"/>
        <v>231710490</v>
      </c>
      <c r="E96" s="196">
        <f>D83</f>
        <v>0.33003787878787871</v>
      </c>
      <c r="F96" s="186">
        <f t="shared" ref="F96:F99" si="6">D96*E96</f>
        <v>76473238.612499982</v>
      </c>
    </row>
    <row r="97" spans="1:6">
      <c r="A97" s="296">
        <v>2013</v>
      </c>
      <c r="B97" s="186">
        <f t="shared" si="3"/>
        <v>271501000</v>
      </c>
      <c r="C97" s="320">
        <f>C41</f>
        <v>0.97299999999999998</v>
      </c>
      <c r="D97" s="186">
        <f t="shared" ref="D97:D99" si="7">B97*C97</f>
        <v>264170473</v>
      </c>
      <c r="E97" s="196">
        <f t="shared" ref="E97:E99" si="8">D84</f>
        <v>0.34103229527104961</v>
      </c>
      <c r="F97" s="186">
        <f t="shared" si="6"/>
        <v>90090662.750028834</v>
      </c>
    </row>
    <row r="98" spans="1:6">
      <c r="A98" s="296">
        <v>2014</v>
      </c>
      <c r="B98" s="186">
        <f t="shared" si="3"/>
        <v>296448000</v>
      </c>
      <c r="C98" s="320">
        <f>C42</f>
        <v>0.91600000000000004</v>
      </c>
      <c r="D98" s="186">
        <f t="shared" si="7"/>
        <v>271546368</v>
      </c>
      <c r="E98" s="196">
        <f t="shared" si="8"/>
        <v>0.28949322848405418</v>
      </c>
      <c r="F98" s="186">
        <f t="shared" si="6"/>
        <v>78610834.755439058</v>
      </c>
    </row>
    <row r="99" spans="1:6">
      <c r="A99" s="296">
        <v>2015</v>
      </c>
      <c r="B99" s="186">
        <f t="shared" si="3"/>
        <v>296278000</v>
      </c>
      <c r="C99" s="320">
        <f>C43</f>
        <v>0.88600000000000001</v>
      </c>
      <c r="D99" s="186">
        <f t="shared" si="7"/>
        <v>262502308</v>
      </c>
      <c r="E99" s="196">
        <f t="shared" si="8"/>
        <v>0.36581519324744566</v>
      </c>
      <c r="F99" s="186">
        <f t="shared" si="6"/>
        <v>96027332.528920501</v>
      </c>
    </row>
  </sheetData>
  <sortState ref="A77:B79">
    <sortCondition ref="A77:A79"/>
  </sortState>
  <mergeCells count="7">
    <mergeCell ref="A88:F88"/>
    <mergeCell ref="A46:F46"/>
    <mergeCell ref="A8:F14"/>
    <mergeCell ref="A19:F19"/>
    <mergeCell ref="A16:F16"/>
    <mergeCell ref="A22:F22"/>
    <mergeCell ref="A24:F24"/>
  </mergeCells>
  <phoneticPr fontId="15" type="noConversion"/>
  <hyperlinks>
    <hyperlink ref="A72" r:id="rId1" display="Statista (sourced from DRAMExchange)"/>
    <hyperlink ref="A73" r:id="rId2"/>
  </hyperlinks>
  <pageMargins left="0.7" right="0.7" top="0.75" bottom="0.75" header="0.3" footer="0.3"/>
  <pageSetup orientation="portrait"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9"/>
  <sheetViews>
    <sheetView showGridLines="0" view="pageLayout" workbookViewId="0">
      <selection activeCell="A22" sqref="A22:F25"/>
    </sheetView>
  </sheetViews>
  <sheetFormatPr baseColWidth="10" defaultRowHeight="15" x14ac:dyDescent="0"/>
  <cols>
    <col min="1" max="1" width="7.1640625" style="16" customWidth="1"/>
    <col min="2" max="2" width="15.6640625" style="16" customWidth="1"/>
    <col min="3" max="5" width="15.6640625" customWidth="1"/>
    <col min="6" max="6" width="33.1640625" customWidth="1"/>
    <col min="7" max="9" width="16.1640625" customWidth="1"/>
    <col min="10" max="10" width="24" customWidth="1"/>
    <col min="11" max="16" width="15.5" customWidth="1"/>
    <col min="17" max="17" width="12.5" bestFit="1" customWidth="1"/>
    <col min="18" max="20" width="24" customWidth="1"/>
    <col min="21" max="21" width="14.1640625" customWidth="1"/>
  </cols>
  <sheetData>
    <row r="2" spans="1:6">
      <c r="A2" s="301" t="s">
        <v>3030</v>
      </c>
    </row>
    <row r="3" spans="1:6" ht="18">
      <c r="A3" s="198" t="str">
        <f>CONCATENATE(VLOOKUP($A$2,'Table of Contents'!$B:$E,4,FALSE)," ",$A$2)</f>
        <v>3.7 Acacia Technologies</v>
      </c>
      <c r="B3" s="198"/>
    </row>
    <row r="4" spans="1:6" ht="18">
      <c r="A4" t="str">
        <f>VLOOKUP($A$2,'Table of Contents'!$B:$E,3,FALSE)</f>
        <v>Public Corp</v>
      </c>
      <c r="B4" s="199"/>
    </row>
    <row r="5" spans="1:6">
      <c r="A5" s="148" t="str">
        <f>VLOOKUP($A$2,'Table of Contents'!$B:$E,2,FALSE)</f>
        <v>Approximated</v>
      </c>
      <c r="B5" s="200"/>
    </row>
    <row r="7" spans="1:6">
      <c r="A7" s="44" t="s">
        <v>3031</v>
      </c>
    </row>
    <row r="8" spans="1:6">
      <c r="A8" s="404" t="s">
        <v>3450</v>
      </c>
      <c r="B8" s="404"/>
      <c r="C8" s="404"/>
      <c r="D8" s="404"/>
      <c r="E8" s="404"/>
      <c r="F8" s="404"/>
    </row>
    <row r="9" spans="1:6">
      <c r="A9" s="404"/>
      <c r="B9" s="404"/>
      <c r="C9" s="404"/>
      <c r="D9" s="404"/>
      <c r="E9" s="404"/>
      <c r="F9" s="404"/>
    </row>
    <row r="10" spans="1:6" ht="51" customHeight="1">
      <c r="A10" s="404"/>
      <c r="B10" s="404"/>
      <c r="C10" s="404"/>
      <c r="D10" s="404"/>
      <c r="E10" s="404"/>
      <c r="F10" s="404"/>
    </row>
    <row r="12" spans="1:6">
      <c r="A12" s="44" t="s">
        <v>3068</v>
      </c>
    </row>
    <row r="13" spans="1:6">
      <c r="A13" s="404" t="s">
        <v>3457</v>
      </c>
      <c r="B13" s="404"/>
      <c r="C13" s="404"/>
      <c r="D13" s="404"/>
      <c r="E13" s="404"/>
      <c r="F13" s="404"/>
    </row>
    <row r="14" spans="1:6">
      <c r="A14" s="404"/>
      <c r="B14" s="404"/>
      <c r="C14" s="404"/>
      <c r="D14" s="404"/>
      <c r="E14" s="404"/>
      <c r="F14" s="404"/>
    </row>
    <row r="15" spans="1:6">
      <c r="A15" s="404"/>
      <c r="B15" s="404"/>
      <c r="C15" s="404"/>
      <c r="D15" s="404"/>
      <c r="E15" s="404"/>
      <c r="F15" s="404"/>
    </row>
    <row r="16" spans="1:6">
      <c r="A16" s="322"/>
      <c r="B16" s="322"/>
      <c r="C16" s="322"/>
      <c r="D16" s="322"/>
      <c r="E16" s="322"/>
      <c r="F16" s="322"/>
    </row>
    <row r="17" spans="1:7">
      <c r="A17" s="44" t="s">
        <v>3067</v>
      </c>
    </row>
    <row r="18" spans="1:7">
      <c r="A18" s="405" t="s">
        <v>3454</v>
      </c>
      <c r="B18" s="405"/>
      <c r="C18" s="405"/>
      <c r="D18" s="405"/>
      <c r="E18" s="405"/>
      <c r="F18" s="405"/>
    </row>
    <row r="19" spans="1:7" ht="6" customHeight="1">
      <c r="A19" s="405"/>
      <c r="B19" s="405"/>
      <c r="C19" s="405"/>
      <c r="D19" s="405"/>
      <c r="E19" s="405"/>
      <c r="F19" s="405"/>
    </row>
    <row r="20" spans="1:7" ht="6" customHeight="1">
      <c r="A20" s="405"/>
      <c r="B20" s="405"/>
      <c r="C20" s="405"/>
      <c r="D20" s="405"/>
      <c r="E20" s="405"/>
      <c r="F20" s="405"/>
    </row>
    <row r="21" spans="1:7">
      <c r="A21" s="44" t="s">
        <v>2092</v>
      </c>
    </row>
    <row r="22" spans="1:7">
      <c r="A22" s="404" t="s">
        <v>3456</v>
      </c>
      <c r="B22" s="404"/>
      <c r="C22" s="404"/>
      <c r="D22" s="404"/>
      <c r="E22" s="404"/>
      <c r="F22" s="404"/>
    </row>
    <row r="23" spans="1:7">
      <c r="A23" s="404"/>
      <c r="B23" s="404"/>
      <c r="C23" s="404"/>
      <c r="D23" s="404"/>
      <c r="E23" s="404"/>
      <c r="F23" s="404"/>
    </row>
    <row r="24" spans="1:7">
      <c r="A24" s="404"/>
      <c r="B24" s="404"/>
      <c r="C24" s="404"/>
      <c r="D24" s="404"/>
      <c r="E24" s="404"/>
      <c r="F24" s="404"/>
    </row>
    <row r="25" spans="1:7" ht="87" customHeight="1">
      <c r="A25" s="404"/>
      <c r="B25" s="404"/>
      <c r="C25" s="404"/>
      <c r="D25" s="404"/>
      <c r="E25" s="404"/>
      <c r="F25" s="404"/>
    </row>
    <row r="27" spans="1:7">
      <c r="A27" s="202" t="s">
        <v>3405</v>
      </c>
    </row>
    <row r="28" spans="1:7" ht="31" customHeight="1">
      <c r="A28" s="385" t="s">
        <v>3451</v>
      </c>
      <c r="B28" s="385"/>
      <c r="C28" s="385"/>
      <c r="D28" s="385"/>
      <c r="E28" s="385"/>
      <c r="F28" s="385"/>
    </row>
    <row r="29" spans="1:7">
      <c r="B29" s="166"/>
    </row>
    <row r="30" spans="1:7" ht="30">
      <c r="A30" s="201" t="s">
        <v>0</v>
      </c>
      <c r="B30" s="169" t="s">
        <v>3204</v>
      </c>
      <c r="C30" s="169" t="s">
        <v>3203</v>
      </c>
      <c r="D30" s="169" t="s">
        <v>3205</v>
      </c>
      <c r="E30" s="169" t="s">
        <v>6</v>
      </c>
      <c r="F30" s="169" t="s">
        <v>2</v>
      </c>
      <c r="G30" s="169" t="s">
        <v>204</v>
      </c>
    </row>
    <row r="31" spans="1:7">
      <c r="A31" s="128">
        <v>2007</v>
      </c>
      <c r="B31" s="321">
        <v>52597000</v>
      </c>
      <c r="C31" s="321"/>
      <c r="D31" s="321">
        <f>B31-C31</f>
        <v>52597000</v>
      </c>
      <c r="E31" s="295" t="s">
        <v>199</v>
      </c>
    </row>
    <row r="32" spans="1:7">
      <c r="A32" s="128">
        <v>2008</v>
      </c>
      <c r="B32" s="321">
        <v>48227000</v>
      </c>
      <c r="C32" s="321"/>
      <c r="D32" s="321">
        <f t="shared" ref="D32:D39" si="0">B32-C32</f>
        <v>48227000</v>
      </c>
      <c r="E32" s="295" t="s">
        <v>199</v>
      </c>
    </row>
    <row r="33" spans="1:8">
      <c r="A33" s="128">
        <v>2009</v>
      </c>
      <c r="B33" s="321">
        <v>67340000</v>
      </c>
      <c r="C33" s="321"/>
      <c r="D33" s="321">
        <f t="shared" si="0"/>
        <v>67340000</v>
      </c>
      <c r="E33" s="295" t="s">
        <v>201</v>
      </c>
    </row>
    <row r="34" spans="1:8">
      <c r="A34" s="128">
        <v>2010</v>
      </c>
      <c r="B34" s="321">
        <v>131829000</v>
      </c>
      <c r="C34" s="321"/>
      <c r="D34" s="321">
        <f t="shared" si="0"/>
        <v>131829000</v>
      </c>
      <c r="E34" s="295" t="s">
        <v>202</v>
      </c>
      <c r="F34" t="s">
        <v>3452</v>
      </c>
      <c r="H34" s="1"/>
    </row>
    <row r="35" spans="1:8">
      <c r="A35" s="128">
        <f>A34+1</f>
        <v>2011</v>
      </c>
      <c r="B35" s="321">
        <v>184707000</v>
      </c>
      <c r="C35" s="321">
        <v>8600000</v>
      </c>
      <c r="D35" s="321">
        <f t="shared" si="0"/>
        <v>176107000</v>
      </c>
      <c r="E35" s="295" t="s">
        <v>203</v>
      </c>
      <c r="F35" t="s">
        <v>3453</v>
      </c>
    </row>
    <row r="36" spans="1:8">
      <c r="A36" s="128">
        <f t="shared" ref="A36:A39" si="1">A35+1</f>
        <v>2012</v>
      </c>
      <c r="B36" s="321">
        <v>250727000</v>
      </c>
      <c r="C36" s="321">
        <v>41200000</v>
      </c>
      <c r="D36" s="321">
        <f t="shared" si="0"/>
        <v>209527000</v>
      </c>
      <c r="E36" s="295" t="s">
        <v>203</v>
      </c>
      <c r="H36" s="1"/>
    </row>
    <row r="37" spans="1:8">
      <c r="A37" s="128">
        <f t="shared" si="1"/>
        <v>2013</v>
      </c>
      <c r="B37" s="321">
        <v>130556000</v>
      </c>
      <c r="C37" s="321">
        <v>9900000</v>
      </c>
      <c r="D37" s="321">
        <f t="shared" si="0"/>
        <v>120656000</v>
      </c>
      <c r="E37" s="295" t="s">
        <v>203</v>
      </c>
      <c r="F37" t="s">
        <v>3455</v>
      </c>
      <c r="H37" s="1"/>
    </row>
    <row r="38" spans="1:8">
      <c r="A38" s="128">
        <f t="shared" si="1"/>
        <v>2014</v>
      </c>
      <c r="B38" s="321">
        <v>130876000</v>
      </c>
      <c r="C38" s="321"/>
      <c r="D38" s="321">
        <f t="shared" si="0"/>
        <v>130876000</v>
      </c>
      <c r="E38" s="295" t="s">
        <v>203</v>
      </c>
      <c r="H38" s="1" t="s">
        <v>11</v>
      </c>
    </row>
    <row r="39" spans="1:8">
      <c r="A39" s="128">
        <f t="shared" si="1"/>
        <v>2015</v>
      </c>
      <c r="B39" s="321">
        <v>125037000</v>
      </c>
      <c r="C39" s="321"/>
      <c r="D39" s="321">
        <f t="shared" si="0"/>
        <v>125037000</v>
      </c>
      <c r="E39" s="295" t="s">
        <v>203</v>
      </c>
      <c r="H39" s="1" t="s">
        <v>11</v>
      </c>
    </row>
  </sheetData>
  <mergeCells count="5">
    <mergeCell ref="A28:F28"/>
    <mergeCell ref="A8:F10"/>
    <mergeCell ref="A13:F15"/>
    <mergeCell ref="A18:F20"/>
    <mergeCell ref="A22:F25"/>
  </mergeCells>
  <phoneticPr fontId="15" type="noConversion"/>
  <pageMargins left="0.7" right="0.7" top="0.75" bottom="0.75" header="0.3" footer="0.3"/>
  <pageSetup orientation="landscape"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40"/>
  <sheetViews>
    <sheetView showGridLines="0" view="pageLayout" workbookViewId="0">
      <selection activeCell="A11" sqref="A11:D11"/>
    </sheetView>
  </sheetViews>
  <sheetFormatPr baseColWidth="10" defaultRowHeight="15" x14ac:dyDescent="0"/>
  <cols>
    <col min="1" max="1" width="18.83203125" customWidth="1"/>
    <col min="2" max="2" width="21.6640625" customWidth="1"/>
    <col min="3" max="4" width="29.1640625" customWidth="1"/>
    <col min="5" max="5" width="59.6640625" customWidth="1"/>
    <col min="6" max="6" width="12.33203125" customWidth="1"/>
  </cols>
  <sheetData>
    <row r="2" spans="1:4">
      <c r="A2" s="246" t="s">
        <v>205</v>
      </c>
    </row>
    <row r="3" spans="1:4" ht="18">
      <c r="A3" s="147" t="str">
        <f>CONCATENATE(VLOOKUP($A$2,'Table of Contents'!$B:$E,4,FALSE)," ",$A$2)</f>
        <v>3.8 WiLAN</v>
      </c>
    </row>
    <row r="4" spans="1:4">
      <c r="A4" t="str">
        <f>VLOOKUP($A$2,'Table of Contents'!$B:$E,3,FALSE)</f>
        <v>Public Corp</v>
      </c>
    </row>
    <row r="5" spans="1:4">
      <c r="A5" s="148" t="str">
        <f>VLOOKUP($A$2,'Table of Contents'!$B:$E,2,FALSE)</f>
        <v>Approximated</v>
      </c>
    </row>
    <row r="6" spans="1:4">
      <c r="A6" s="148"/>
    </row>
    <row r="7" spans="1:4">
      <c r="A7" s="44" t="s">
        <v>3031</v>
      </c>
    </row>
    <row r="8" spans="1:4" ht="83" customHeight="1">
      <c r="A8" s="392" t="s">
        <v>3447</v>
      </c>
      <c r="B8" s="392"/>
      <c r="C8" s="392"/>
      <c r="D8" s="392"/>
    </row>
    <row r="10" spans="1:4">
      <c r="A10" s="44" t="s">
        <v>3068</v>
      </c>
    </row>
    <row r="11" spans="1:4" ht="48" customHeight="1">
      <c r="A11" s="378" t="s">
        <v>3444</v>
      </c>
      <c r="B11" s="378"/>
      <c r="C11" s="378"/>
      <c r="D11" s="378"/>
    </row>
    <row r="13" spans="1:4">
      <c r="A13" s="44" t="s">
        <v>3067</v>
      </c>
    </row>
    <row r="14" spans="1:4" ht="34" customHeight="1">
      <c r="A14" s="378" t="s">
        <v>3449</v>
      </c>
      <c r="B14" s="378"/>
      <c r="C14" s="378"/>
      <c r="D14" s="378"/>
    </row>
    <row r="16" spans="1:4">
      <c r="A16" s="44" t="s">
        <v>2092</v>
      </c>
    </row>
    <row r="17" spans="1:4" ht="48" customHeight="1">
      <c r="A17" s="378" t="s">
        <v>3445</v>
      </c>
      <c r="B17" s="378"/>
      <c r="C17" s="378"/>
      <c r="D17" s="378"/>
    </row>
    <row r="18" spans="1:4" ht="32" customHeight="1">
      <c r="A18" s="378" t="s">
        <v>3446</v>
      </c>
      <c r="B18" s="378"/>
      <c r="C18" s="378"/>
      <c r="D18" s="378"/>
    </row>
    <row r="22" spans="1:4">
      <c r="A22" s="44" t="s">
        <v>3405</v>
      </c>
    </row>
    <row r="23" spans="1:4" ht="52" customHeight="1">
      <c r="A23" s="160" t="s">
        <v>0</v>
      </c>
      <c r="B23" s="169" t="s">
        <v>3448</v>
      </c>
    </row>
    <row r="24" spans="1:4">
      <c r="A24" s="128">
        <v>2015</v>
      </c>
      <c r="B24" s="190">
        <v>102855000</v>
      </c>
    </row>
    <row r="25" spans="1:4">
      <c r="A25" s="128">
        <f>A24-1</f>
        <v>2014</v>
      </c>
      <c r="B25" s="190">
        <v>98311000</v>
      </c>
    </row>
    <row r="26" spans="1:4">
      <c r="A26" s="128">
        <f t="shared" ref="A26:A31" si="0">A25-1</f>
        <v>2013</v>
      </c>
      <c r="B26" s="190">
        <v>88209000</v>
      </c>
    </row>
    <row r="27" spans="1:4">
      <c r="A27" s="128">
        <f t="shared" si="0"/>
        <v>2012</v>
      </c>
      <c r="B27" s="190">
        <v>87960000</v>
      </c>
    </row>
    <row r="28" spans="1:4" ht="16" customHeight="1">
      <c r="A28" s="128">
        <f t="shared" si="0"/>
        <v>2011</v>
      </c>
      <c r="B28" s="190">
        <v>104813000</v>
      </c>
    </row>
    <row r="29" spans="1:4">
      <c r="A29" s="128">
        <f t="shared" si="0"/>
        <v>2010</v>
      </c>
      <c r="B29" s="190">
        <v>45557000</v>
      </c>
    </row>
    <row r="30" spans="1:4">
      <c r="A30" s="128">
        <f t="shared" si="0"/>
        <v>2009</v>
      </c>
      <c r="B30" s="190">
        <v>35425000</v>
      </c>
    </row>
    <row r="31" spans="1:4">
      <c r="A31" s="128">
        <f t="shared" si="0"/>
        <v>2008</v>
      </c>
      <c r="B31" s="190">
        <v>26564000</v>
      </c>
    </row>
    <row r="32" spans="1:4" ht="16" customHeight="1">
      <c r="A32" s="128">
        <v>2007</v>
      </c>
      <c r="B32" s="190">
        <v>61270000</v>
      </c>
    </row>
    <row r="33" spans="1:1">
      <c r="A33" s="216"/>
    </row>
    <row r="34" spans="1:1" ht="16" customHeight="1">
      <c r="A34" s="216"/>
    </row>
    <row r="37" spans="1:1" ht="16" customHeight="1">
      <c r="A37" s="216"/>
    </row>
    <row r="38" spans="1:1">
      <c r="A38" s="216"/>
    </row>
    <row r="39" spans="1:1">
      <c r="A39" s="216"/>
    </row>
    <row r="40" spans="1:1" ht="16" customHeight="1"/>
  </sheetData>
  <sortState ref="A18:D34">
    <sortCondition ref="A18:A34"/>
  </sortState>
  <mergeCells count="5">
    <mergeCell ref="A8:D8"/>
    <mergeCell ref="A11:D11"/>
    <mergeCell ref="A14:D14"/>
    <mergeCell ref="A17:D17"/>
    <mergeCell ref="A18:D18"/>
  </mergeCells>
  <phoneticPr fontId="15" type="noConversion"/>
  <pageMargins left="0.7" right="0.7" top="0.75" bottom="0.75" header="0.3" footer="0.3"/>
  <pageSetup orientation="landscape"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432FF"/>
  </sheetPr>
  <dimension ref="A3:E68"/>
  <sheetViews>
    <sheetView showGridLines="0" view="pageLayout" zoomScale="113" workbookViewId="0">
      <selection activeCell="D12" sqref="D12"/>
    </sheetView>
  </sheetViews>
  <sheetFormatPr baseColWidth="10" defaultRowHeight="15" x14ac:dyDescent="0"/>
  <cols>
    <col min="2" max="2" width="22.83203125" bestFit="1" customWidth="1"/>
    <col min="3" max="3" width="15" bestFit="1" customWidth="1"/>
    <col min="4" max="4" width="18.33203125" style="246" customWidth="1"/>
    <col min="5" max="5" width="10.83203125" style="128"/>
  </cols>
  <sheetData>
    <row r="3" spans="1:5" ht="20">
      <c r="A3" s="131" t="s">
        <v>2999</v>
      </c>
    </row>
    <row r="4" spans="1:5">
      <c r="A4" s="150" t="s">
        <v>3028</v>
      </c>
    </row>
    <row r="6" spans="1:5">
      <c r="A6" s="150" t="s">
        <v>3027</v>
      </c>
    </row>
    <row r="8" spans="1:5">
      <c r="A8" s="150" t="s">
        <v>3039</v>
      </c>
      <c r="E8" s="160"/>
    </row>
    <row r="9" spans="1:5">
      <c r="A9" s="154">
        <v>1.1000000000000001</v>
      </c>
      <c r="B9" t="s">
        <v>3029</v>
      </c>
      <c r="E9" s="305">
        <f t="shared" ref="E9:E19" si="0">A9</f>
        <v>1.1000000000000001</v>
      </c>
    </row>
    <row r="10" spans="1:5">
      <c r="A10" s="154">
        <v>1.2</v>
      </c>
      <c r="B10" t="s">
        <v>3026</v>
      </c>
      <c r="E10" s="305">
        <f t="shared" si="0"/>
        <v>1.2</v>
      </c>
    </row>
    <row r="11" spans="1:5">
      <c r="A11" s="154">
        <v>1.3</v>
      </c>
      <c r="B11" t="s">
        <v>3394</v>
      </c>
      <c r="E11" s="305">
        <f t="shared" si="0"/>
        <v>1.3</v>
      </c>
    </row>
    <row r="12" spans="1:5">
      <c r="A12" s="154">
        <v>1.4</v>
      </c>
      <c r="B12" s="173" t="s">
        <v>3396</v>
      </c>
      <c r="E12" s="305">
        <f t="shared" si="0"/>
        <v>1.4</v>
      </c>
    </row>
    <row r="13" spans="1:5">
      <c r="A13" s="310" t="s">
        <v>3365</v>
      </c>
      <c r="B13" s="281" t="s">
        <v>3395</v>
      </c>
      <c r="E13" s="305" t="str">
        <f t="shared" si="0"/>
        <v>1.4.1</v>
      </c>
    </row>
    <row r="14" spans="1:5">
      <c r="A14" s="154">
        <v>1.5</v>
      </c>
      <c r="B14" t="s">
        <v>3367</v>
      </c>
      <c r="E14" s="305">
        <f t="shared" si="0"/>
        <v>1.5</v>
      </c>
    </row>
    <row r="15" spans="1:5">
      <c r="A15" s="310" t="s">
        <v>3390</v>
      </c>
      <c r="B15" t="s">
        <v>3368</v>
      </c>
      <c r="E15" s="305" t="str">
        <f t="shared" si="0"/>
        <v>1.5.1</v>
      </c>
    </row>
    <row r="16" spans="1:5">
      <c r="A16" s="154">
        <v>1.6</v>
      </c>
      <c r="B16" t="s">
        <v>3391</v>
      </c>
      <c r="E16" s="305">
        <f t="shared" si="0"/>
        <v>1.6</v>
      </c>
    </row>
    <row r="17" spans="1:5">
      <c r="A17" s="154">
        <v>1.7</v>
      </c>
      <c r="B17" t="s">
        <v>3366</v>
      </c>
      <c r="E17" s="305">
        <f t="shared" si="0"/>
        <v>1.7</v>
      </c>
    </row>
    <row r="18" spans="1:5">
      <c r="A18" s="154">
        <v>1.8</v>
      </c>
      <c r="B18" t="s">
        <v>3392</v>
      </c>
      <c r="E18" s="305">
        <f t="shared" si="0"/>
        <v>1.8</v>
      </c>
    </row>
    <row r="19" spans="1:5">
      <c r="A19" s="154">
        <v>1.9</v>
      </c>
      <c r="B19" t="s">
        <v>3393</v>
      </c>
      <c r="E19" s="305">
        <f t="shared" si="0"/>
        <v>1.9</v>
      </c>
    </row>
    <row r="21" spans="1:5">
      <c r="A21" s="150" t="s">
        <v>3377</v>
      </c>
      <c r="C21" s="160" t="s">
        <v>3388</v>
      </c>
      <c r="D21" s="160" t="s">
        <v>3389</v>
      </c>
      <c r="E21" s="160"/>
    </row>
    <row r="22" spans="1:5">
      <c r="A22" s="154">
        <v>2.1</v>
      </c>
      <c r="B22" t="s">
        <v>2878</v>
      </c>
      <c r="C22" s="306" t="s">
        <v>3004</v>
      </c>
      <c r="D22" s="304" t="s">
        <v>3385</v>
      </c>
      <c r="E22" s="305">
        <f t="shared" ref="E22:E27" si="1">A22</f>
        <v>2.1</v>
      </c>
    </row>
    <row r="23" spans="1:5">
      <c r="A23" s="154">
        <v>2.2000000000000002</v>
      </c>
      <c r="B23" t="s">
        <v>2880</v>
      </c>
      <c r="C23" s="306" t="s">
        <v>3004</v>
      </c>
      <c r="D23" s="304" t="s">
        <v>3385</v>
      </c>
      <c r="E23" s="305">
        <f t="shared" si="1"/>
        <v>2.2000000000000002</v>
      </c>
    </row>
    <row r="24" spans="1:5">
      <c r="A24" s="154">
        <v>2.2999999999999998</v>
      </c>
      <c r="B24" t="s">
        <v>5</v>
      </c>
      <c r="C24" s="306" t="s">
        <v>3004</v>
      </c>
      <c r="D24" s="304" t="s">
        <v>3385</v>
      </c>
      <c r="E24" s="305">
        <f t="shared" si="1"/>
        <v>2.2999999999999998</v>
      </c>
    </row>
    <row r="25" spans="1:5">
      <c r="A25" s="158" t="s">
        <v>3051</v>
      </c>
      <c r="B25" t="s">
        <v>3052</v>
      </c>
      <c r="C25" s="306" t="s">
        <v>3004</v>
      </c>
      <c r="D25" s="304" t="s">
        <v>3385</v>
      </c>
      <c r="E25" s="305" t="str">
        <f t="shared" si="1"/>
        <v>2.3.1</v>
      </c>
    </row>
    <row r="26" spans="1:5">
      <c r="A26" s="154">
        <v>2.4</v>
      </c>
      <c r="B26" t="s">
        <v>2879</v>
      </c>
      <c r="C26" s="306" t="s">
        <v>3004</v>
      </c>
      <c r="D26" s="304" t="s">
        <v>3385</v>
      </c>
      <c r="E26" s="305">
        <f t="shared" si="1"/>
        <v>2.4</v>
      </c>
    </row>
    <row r="27" spans="1:5">
      <c r="A27" s="154">
        <v>2.5</v>
      </c>
      <c r="B27" t="s">
        <v>123</v>
      </c>
      <c r="C27" s="306" t="s">
        <v>3025</v>
      </c>
      <c r="D27" s="304" t="s">
        <v>3385</v>
      </c>
      <c r="E27" s="305">
        <f t="shared" si="1"/>
        <v>2.5</v>
      </c>
    </row>
    <row r="28" spans="1:5">
      <c r="D28" s="128"/>
      <c r="E28" s="246"/>
    </row>
    <row r="29" spans="1:5">
      <c r="A29" s="150" t="s">
        <v>3378</v>
      </c>
      <c r="C29" s="160" t="s">
        <v>3388</v>
      </c>
      <c r="D29" s="160" t="str">
        <f>$D$21</f>
        <v>Entity Type</v>
      </c>
      <c r="E29" s="160"/>
    </row>
    <row r="30" spans="1:5">
      <c r="A30" s="154">
        <v>3.1</v>
      </c>
      <c r="B30" t="s">
        <v>1336</v>
      </c>
      <c r="C30" s="306" t="s">
        <v>3136</v>
      </c>
      <c r="D30" s="304" t="s">
        <v>3385</v>
      </c>
      <c r="E30" s="247">
        <f t="shared" ref="E30:E39" si="2">A30</f>
        <v>3.1</v>
      </c>
    </row>
    <row r="31" spans="1:5">
      <c r="A31" s="154">
        <v>3.2</v>
      </c>
      <c r="B31" t="s">
        <v>3032</v>
      </c>
      <c r="C31" s="306" t="s">
        <v>3135</v>
      </c>
      <c r="D31" s="304" t="s">
        <v>3385</v>
      </c>
      <c r="E31" s="247">
        <f t="shared" si="2"/>
        <v>3.2</v>
      </c>
    </row>
    <row r="32" spans="1:5">
      <c r="A32" s="154">
        <v>3.3</v>
      </c>
      <c r="B32" t="s">
        <v>3033</v>
      </c>
      <c r="C32" s="306" t="s">
        <v>3135</v>
      </c>
      <c r="D32" s="304" t="s">
        <v>3385</v>
      </c>
      <c r="E32" s="247">
        <f t="shared" si="2"/>
        <v>3.3</v>
      </c>
    </row>
    <row r="33" spans="1:5">
      <c r="A33" s="211">
        <v>3.4</v>
      </c>
      <c r="B33" t="s">
        <v>207</v>
      </c>
      <c r="C33" s="306" t="s">
        <v>3135</v>
      </c>
      <c r="D33" s="304" t="s">
        <v>3385</v>
      </c>
      <c r="E33" s="247">
        <f t="shared" si="2"/>
        <v>3.4</v>
      </c>
    </row>
    <row r="34" spans="1:5">
      <c r="A34" s="154">
        <v>3.5</v>
      </c>
      <c r="B34" t="s">
        <v>2884</v>
      </c>
      <c r="C34" s="306" t="s">
        <v>3136</v>
      </c>
      <c r="D34" s="304" t="s">
        <v>3385</v>
      </c>
      <c r="E34" s="247">
        <f t="shared" si="2"/>
        <v>3.5</v>
      </c>
    </row>
    <row r="35" spans="1:5">
      <c r="A35" s="154">
        <v>3.6</v>
      </c>
      <c r="B35" t="s">
        <v>2886</v>
      </c>
      <c r="C35" s="306" t="s">
        <v>3136</v>
      </c>
      <c r="D35" s="304" t="s">
        <v>3385</v>
      </c>
      <c r="E35" s="247">
        <f t="shared" si="2"/>
        <v>3.6</v>
      </c>
    </row>
    <row r="36" spans="1:5">
      <c r="A36" s="154">
        <v>3.7</v>
      </c>
      <c r="B36" t="s">
        <v>3030</v>
      </c>
      <c r="C36" s="306" t="s">
        <v>3136</v>
      </c>
      <c r="D36" s="304" t="s">
        <v>3385</v>
      </c>
      <c r="E36" s="247">
        <f t="shared" si="2"/>
        <v>3.7</v>
      </c>
    </row>
    <row r="37" spans="1:5">
      <c r="A37" s="154">
        <v>3.8</v>
      </c>
      <c r="B37" t="s">
        <v>205</v>
      </c>
      <c r="C37" s="306" t="s">
        <v>3136</v>
      </c>
      <c r="D37" s="304" t="s">
        <v>3385</v>
      </c>
      <c r="E37" s="247">
        <f t="shared" si="2"/>
        <v>3.8</v>
      </c>
    </row>
    <row r="38" spans="1:5">
      <c r="A38" s="299">
        <v>3.9</v>
      </c>
      <c r="B38" t="s">
        <v>3038</v>
      </c>
      <c r="C38" s="306" t="s">
        <v>3004</v>
      </c>
      <c r="D38" s="304" t="s">
        <v>3385</v>
      </c>
      <c r="E38" s="247">
        <f t="shared" si="2"/>
        <v>3.9</v>
      </c>
    </row>
    <row r="39" spans="1:5">
      <c r="A39" s="299" t="s">
        <v>3373</v>
      </c>
      <c r="B39" t="s">
        <v>2118</v>
      </c>
      <c r="C39" s="306" t="s">
        <v>3004</v>
      </c>
      <c r="D39" s="304" t="s">
        <v>3385</v>
      </c>
      <c r="E39" s="247" t="str">
        <f t="shared" si="2"/>
        <v>3.10</v>
      </c>
    </row>
    <row r="40" spans="1:5">
      <c r="D40" s="128"/>
      <c r="E40" s="246"/>
    </row>
    <row r="41" spans="1:5">
      <c r="A41" s="299" t="s">
        <v>3374</v>
      </c>
      <c r="B41" t="s">
        <v>2882</v>
      </c>
      <c r="C41" s="306" t="s">
        <v>3004</v>
      </c>
      <c r="D41" s="304" t="s">
        <v>3385</v>
      </c>
      <c r="E41" s="247" t="str">
        <f>A41</f>
        <v>3.11</v>
      </c>
    </row>
    <row r="42" spans="1:5">
      <c r="A42" s="299" t="s">
        <v>3375</v>
      </c>
      <c r="B42" t="s">
        <v>2885</v>
      </c>
      <c r="C42" s="306" t="s">
        <v>3136</v>
      </c>
      <c r="D42" s="304" t="s">
        <v>3385</v>
      </c>
      <c r="E42" s="247" t="str">
        <f>A42</f>
        <v>3.12</v>
      </c>
    </row>
    <row r="43" spans="1:5">
      <c r="D43" s="128"/>
      <c r="E43" s="246"/>
    </row>
    <row r="44" spans="1:5">
      <c r="A44" s="150" t="s">
        <v>3372</v>
      </c>
      <c r="C44" s="160" t="s">
        <v>3388</v>
      </c>
      <c r="D44" s="160" t="str">
        <f>$D$21</f>
        <v>Entity Type</v>
      </c>
      <c r="E44" s="160"/>
    </row>
    <row r="45" spans="1:5">
      <c r="A45" s="154">
        <v>4.0999999999999996</v>
      </c>
      <c r="B45" t="s">
        <v>3035</v>
      </c>
      <c r="C45" s="306" t="s">
        <v>3025</v>
      </c>
      <c r="D45" s="307" t="s">
        <v>3387</v>
      </c>
      <c r="E45" s="247">
        <f t="shared" ref="E45:E53" si="3">A45</f>
        <v>4.0999999999999996</v>
      </c>
    </row>
    <row r="46" spans="1:5">
      <c r="A46" s="154">
        <v>4.2</v>
      </c>
      <c r="B46" t="s">
        <v>3034</v>
      </c>
      <c r="C46" s="306" t="s">
        <v>3136</v>
      </c>
      <c r="D46" s="307" t="s">
        <v>3387</v>
      </c>
      <c r="E46" s="247">
        <f t="shared" si="3"/>
        <v>4.2</v>
      </c>
    </row>
    <row r="47" spans="1:5">
      <c r="A47" s="154">
        <v>4.3</v>
      </c>
      <c r="B47" t="s">
        <v>2117</v>
      </c>
      <c r="C47" s="306" t="s">
        <v>3025</v>
      </c>
      <c r="D47" s="307" t="s">
        <v>3387</v>
      </c>
      <c r="E47" s="247">
        <f t="shared" si="3"/>
        <v>4.3</v>
      </c>
    </row>
    <row r="48" spans="1:5">
      <c r="A48" s="154">
        <v>4.4000000000000004</v>
      </c>
      <c r="B48" t="s">
        <v>3053</v>
      </c>
      <c r="C48" s="306" t="s">
        <v>3025</v>
      </c>
      <c r="D48" s="307" t="s">
        <v>3387</v>
      </c>
      <c r="E48" s="247">
        <f t="shared" si="3"/>
        <v>4.4000000000000004</v>
      </c>
    </row>
    <row r="49" spans="1:5">
      <c r="A49" s="154">
        <v>4.5</v>
      </c>
      <c r="B49" t="s">
        <v>3036</v>
      </c>
      <c r="C49" s="306" t="s">
        <v>3135</v>
      </c>
      <c r="D49" s="307" t="s">
        <v>3387</v>
      </c>
      <c r="E49" s="247">
        <f t="shared" si="3"/>
        <v>4.5</v>
      </c>
    </row>
    <row r="50" spans="1:5">
      <c r="A50" s="154">
        <v>4.5999999999999996</v>
      </c>
      <c r="B50" t="s">
        <v>3037</v>
      </c>
      <c r="C50" s="306" t="s">
        <v>3135</v>
      </c>
      <c r="D50" s="307" t="s">
        <v>3387</v>
      </c>
      <c r="E50" s="247">
        <f t="shared" si="3"/>
        <v>4.5999999999999996</v>
      </c>
    </row>
    <row r="51" spans="1:5">
      <c r="A51" s="154">
        <v>4.7</v>
      </c>
      <c r="B51" t="s">
        <v>3054</v>
      </c>
      <c r="C51" s="306" t="s">
        <v>3135</v>
      </c>
      <c r="D51" s="307" t="s">
        <v>3387</v>
      </c>
      <c r="E51" s="247">
        <f t="shared" si="3"/>
        <v>4.7</v>
      </c>
    </row>
    <row r="52" spans="1:5">
      <c r="A52" s="154">
        <v>4.8</v>
      </c>
      <c r="B52" t="s">
        <v>3083</v>
      </c>
      <c r="C52" s="306" t="s">
        <v>3135</v>
      </c>
      <c r="D52" s="307" t="s">
        <v>3387</v>
      </c>
      <c r="E52" s="247">
        <f t="shared" si="3"/>
        <v>4.8</v>
      </c>
    </row>
    <row r="53" spans="1:5">
      <c r="D53" s="128"/>
      <c r="E53" s="247">
        <f t="shared" si="3"/>
        <v>0</v>
      </c>
    </row>
    <row r="54" spans="1:5">
      <c r="A54" s="150" t="s">
        <v>3382</v>
      </c>
      <c r="C54" s="160" t="s">
        <v>3388</v>
      </c>
      <c r="D54" s="160" t="str">
        <f>$D$21</f>
        <v>Entity Type</v>
      </c>
      <c r="E54" s="160"/>
    </row>
    <row r="55" spans="1:5">
      <c r="A55" s="154">
        <v>5.0999999999999996</v>
      </c>
      <c r="B55" t="s">
        <v>3040</v>
      </c>
      <c r="C55" s="306" t="s">
        <v>3135</v>
      </c>
      <c r="D55" s="304" t="s">
        <v>3386</v>
      </c>
      <c r="E55" s="247">
        <f t="shared" ref="E55:E60" si="4">A55</f>
        <v>5.0999999999999996</v>
      </c>
    </row>
    <row r="56" spans="1:5">
      <c r="A56" s="154">
        <v>5.2</v>
      </c>
      <c r="B56" t="s">
        <v>2877</v>
      </c>
      <c r="C56" s="306" t="s">
        <v>3135</v>
      </c>
      <c r="D56" s="304" t="s">
        <v>3386</v>
      </c>
      <c r="E56" s="247">
        <f t="shared" si="4"/>
        <v>5.2</v>
      </c>
    </row>
    <row r="57" spans="1:5">
      <c r="A57" s="154">
        <v>5.3</v>
      </c>
      <c r="B57" t="s">
        <v>3137</v>
      </c>
      <c r="C57" s="306" t="s">
        <v>3135</v>
      </c>
      <c r="D57" s="304" t="s">
        <v>3386</v>
      </c>
      <c r="E57" s="247">
        <f t="shared" si="4"/>
        <v>5.3</v>
      </c>
    </row>
    <row r="58" spans="1:5">
      <c r="A58" s="154">
        <v>5.4</v>
      </c>
      <c r="B58" t="s">
        <v>2883</v>
      </c>
      <c r="C58" s="306" t="s">
        <v>3135</v>
      </c>
      <c r="D58" s="304" t="s">
        <v>3386</v>
      </c>
      <c r="E58" s="247">
        <f t="shared" si="4"/>
        <v>5.4</v>
      </c>
    </row>
    <row r="59" spans="1:5">
      <c r="A59" s="157">
        <v>5.5</v>
      </c>
      <c r="B59" t="s">
        <v>2923</v>
      </c>
      <c r="C59" s="306" t="s">
        <v>3135</v>
      </c>
      <c r="D59" s="304" t="s">
        <v>3386</v>
      </c>
      <c r="E59" s="247">
        <f t="shared" si="4"/>
        <v>5.5</v>
      </c>
    </row>
    <row r="60" spans="1:5">
      <c r="A60" s="299">
        <v>5.6</v>
      </c>
      <c r="B60" t="s">
        <v>97</v>
      </c>
      <c r="C60" s="306" t="s">
        <v>3136</v>
      </c>
      <c r="D60" s="304" t="s">
        <v>3386</v>
      </c>
      <c r="E60" s="247">
        <f t="shared" si="4"/>
        <v>5.6</v>
      </c>
    </row>
    <row r="61" spans="1:5">
      <c r="A61" s="154"/>
      <c r="C61" s="306"/>
      <c r="D61" s="304"/>
      <c r="E61" s="247"/>
    </row>
    <row r="62" spans="1:5">
      <c r="A62" s="150" t="s">
        <v>3383</v>
      </c>
      <c r="D62" s="247">
        <f>A57</f>
        <v>5.3</v>
      </c>
    </row>
    <row r="63" spans="1:5">
      <c r="A63" s="247"/>
      <c r="B63" s="247"/>
      <c r="C63" s="247"/>
      <c r="D63" s="247"/>
    </row>
    <row r="64" spans="1:5">
      <c r="A64" s="150" t="s">
        <v>3384</v>
      </c>
      <c r="B64" s="247"/>
      <c r="C64" s="247"/>
    </row>
    <row r="65" spans="1:4">
      <c r="A65" s="247"/>
      <c r="B65" s="247"/>
      <c r="C65" s="247"/>
    </row>
    <row r="66" spans="1:4">
      <c r="D66" s="247">
        <f>A59</f>
        <v>5.5</v>
      </c>
    </row>
    <row r="67" spans="1:4">
      <c r="D67" s="247" t="e">
        <f>#REF!</f>
        <v>#REF!</v>
      </c>
    </row>
    <row r="68" spans="1:4">
      <c r="D68" s="247">
        <f>A63</f>
        <v>0</v>
      </c>
    </row>
  </sheetData>
  <phoneticPr fontId="15" type="noConversion"/>
  <hyperlinks>
    <hyperlink ref="A9" location="'1.1 Intro '!A1" display="'1.1 Intro '!A1"/>
    <hyperlink ref="A10" location="'1.2 Contact'!A1" display="'1.2 Contact'!A1"/>
    <hyperlink ref="A11" location="'1.3 Summary Results 2015'!A1" display="'1.3 Summary Results 2015'!A1"/>
    <hyperlink ref="A14" location="'1.5 Economic Summary 2015'!A1" display="'1.5 Economic Summary 2015'!A1"/>
    <hyperlink ref="A16" location="'1.6 Sensitivity'!A1" display="'1.6 Sensitivity'!A1"/>
    <hyperlink ref="A18" location="'1.8 Device Sales'!A1" display="'1.8 Device Sales'!A1"/>
    <hyperlink ref="A22" location="'2.1 Qualcomm'!A1" display="'2.1 Qualcomm'!A1"/>
    <hyperlink ref="A23" location="'2.2 Ericsson'!A1" display="'2.2 Ericsson'!A1"/>
    <hyperlink ref="A24" location="'2.3 Nokia'!A1" display="'2.3 Nokia'!A1"/>
    <hyperlink ref="A26" location="'2.4 Interdigital'!A1" display="'2.4 Interdigital'!A1"/>
    <hyperlink ref="A27" location="'2.5 Microsoft'!A1" display="'2.5 Microsoft'!A1"/>
    <hyperlink ref="A30" location="'3.1 Philips'!A1" display="'3.1 Philips'!A1"/>
    <hyperlink ref="A60" location="'3.2 Huawei'!A1" display="'3.2 Huawei'!A1"/>
    <hyperlink ref="A31" location="'3.3 ATT 802.11'!A1" display="'3.3 ATT 802.11'!A1"/>
    <hyperlink ref="A32" location="'3.4 ATT MPEG4'!A1" display="'3.4 ATT MPEG4'!A1"/>
    <hyperlink ref="A33" location="'3.5 Broadcom'!A1" display="'3.5 Broadcom'!A1"/>
    <hyperlink ref="A4" location="'Title Page'!A1" display="Title page"/>
    <hyperlink ref="A6" location="'Citation Info'!A1" display="Citation Information"/>
    <hyperlink ref="A45" location="'4.1 Via Licensing AAC'!A1" display="'4.1 Via Licensing AAC'!A1"/>
    <hyperlink ref="A46" location="'4.2 Via Licensing LTE'!A1" display="'4.2 Via Licensing LTE'!A1"/>
    <hyperlink ref="A47" location="'4.3 MPEGLA MPEG4'!A1" display="'4.3 MPEGLA MPEG4'!A1"/>
    <hyperlink ref="A48" location="'4.4 MPEGLA AVC H.264'!A1" display="'4.4 MPEGLA AVC H.264'!A1"/>
    <hyperlink ref="A49" location="'4.5 Sisvel LTE'!A1" display="'4.5 Sisvel LTE'!A1"/>
    <hyperlink ref="A50" location="'4.6 Sisvel Wifi'!A1" display="'4.6 Sisvel Wifi'!A1"/>
    <hyperlink ref="A51" location="'4.7 SIPROLab WCDMA'!A1" display="'4.7 SIPROLab WCDMA'!A1"/>
    <hyperlink ref="A34" location="'3.6 Tessera'!A1" display="'3.6 Tessera'!A1"/>
    <hyperlink ref="A35" location="'3.7 Rambus'!A1" display="'3.7 Rambus'!A1"/>
    <hyperlink ref="A36" location="'3.8 Acacia Technologies'!A1" display="'3.8 Acacia Technologies'!A1"/>
    <hyperlink ref="A37" location="'3.9 WiLAN'!A1" display="'3.9 WiLAN'!A1"/>
    <hyperlink ref="A38" location="'3.10 Parkervision'!A1" display="3.10"/>
    <hyperlink ref="A39" location="'3.11 Unwired Planet'!A1" display="3.11"/>
    <hyperlink ref="A44" location="'4.0 Pools-&gt;'!A1" display="4.0 Mobile Related Patent Pools"/>
    <hyperlink ref="A29" location="'3.0 Other Public-&gt;'!A1" display="3.0 Other Public Corporations"/>
    <hyperlink ref="A21" location="'2.0 Leaders-&gt;'!A1" display="2.0 Mobile Patent Licensing Leaders"/>
    <hyperlink ref="A8" location="'1.0 Overview-&gt;'!A1" display="1.0 Overview"/>
    <hyperlink ref="A54" location="'5.0 Other Private-&gt;'!A1" display="5.0 Other Private Corporations"/>
    <hyperlink ref="A64" location="'7.0 Closing'!A1" display="7.0 Closing"/>
    <hyperlink ref="A25" location="'2.3.1 Alcatel-Lucent (Nokia)'!A1" display="'2.3.1 Alcatel-Lucent (Nokia)'!A1"/>
    <hyperlink ref="A55" location="'5.1 SISVEL Wireless'!A1" display="'5.1 SISVEL Wireless'!A1"/>
    <hyperlink ref="A56" location="'5.2 IP Com'!A1" display="'5.2 IP Com'!A1"/>
    <hyperlink ref="A57" location="'5.5 PanOptis-Optis'!A1" display="'5.5 PanOptis-Optis'!A1"/>
    <hyperlink ref="A52" location="'4.8 Vectis WiFi'!A1" display="'4.8 Vectis WiFi'!A1"/>
    <hyperlink ref="A58" location="'5.8 IP Bridge'!A1" display="'5.8 IP Bridge'!A1"/>
    <hyperlink ref="A59" location="'5.9 Intellectual Ventures'!A1" display="'5.9 Intellectual Ventures'!A1"/>
    <hyperlink ref="A19" location="'1.9 OEM Sales'!A1" display="'1.9 OEM Sales'!A1"/>
    <hyperlink ref="A12" location="'1.4 Summary Results Since 2007'!A1" display="'1.4 Summary Results Since 2007'!A1"/>
    <hyperlink ref="A41" location="'3.12 VirnetX'!A1" display="3.12"/>
    <hyperlink ref="A42" location="'3.13 Marathon Patent Group'!A1" display="3.13"/>
    <hyperlink ref="A62" location="'6.0 Others'!A1" display="6.0 Other Identified Entities for Future Consideration"/>
    <hyperlink ref="A17" location="'1.7 Revenues by Licensor'!A1" display="'1.7 Revenues by Licensor'!A1"/>
  </hyperlinks>
  <pageMargins left="0.7" right="0.7" top="0.75" bottom="0.75" header="0.3" footer="0.3"/>
  <pageSetup orientation="portrait" horizontalDpi="4294967292" verticalDpi="4294967292"/>
  <headerFooter>
    <oddHeader>&amp;LA New Dataset on Mobile Phone _x000D_Patent License Royalties&amp;C&amp;A&amp;RSeptember 2016 Update</oddHeader>
    <oddFooter>&amp;LAlexander Galetovic, Stephen Haber, _x000D_and Lew Zaretzki&amp;C&amp;P of &amp;N</oddFooter>
  </headerFooter>
  <rowBreaks count="1" manualBreakCount="1">
    <brk id="39" max="16383" man="1"/>
  </rowBreaks>
  <extLst>
    <ext xmlns:mx="http://schemas.microsoft.com/office/mac/excel/2008/main" uri="{64002731-A6B0-56B0-2670-7721B7C09600}">
      <mx:PLV Mode="1" OnePage="0" WScale="100"/>
    </ext>
  </extLst>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86"/>
  <sheetViews>
    <sheetView showGridLines="0" view="pageLayout" workbookViewId="0">
      <selection activeCell="A3" sqref="A3"/>
    </sheetView>
  </sheetViews>
  <sheetFormatPr baseColWidth="10" defaultRowHeight="15" x14ac:dyDescent="0"/>
  <cols>
    <col min="2" max="2" width="15" customWidth="1"/>
    <col min="3" max="3" width="18" customWidth="1"/>
    <col min="6" max="6" width="12" customWidth="1"/>
  </cols>
  <sheetData>
    <row r="2" spans="1:6">
      <c r="A2" s="246" t="s">
        <v>2881</v>
      </c>
    </row>
    <row r="3" spans="1:6" ht="18">
      <c r="A3" s="147" t="str">
        <f>CONCATENATE(VLOOKUP($A$2,'Table of Contents'!$B:$E,4,FALSE)," ",$A$2)</f>
        <v>3.9 Parkervision</v>
      </c>
    </row>
    <row r="4" spans="1:6">
      <c r="A4" t="str">
        <f>VLOOKUP($A$2,'Table of Contents'!$B:$E,3,FALSE)</f>
        <v>Public Corp</v>
      </c>
    </row>
    <row r="5" spans="1:6">
      <c r="A5" s="148" t="str">
        <f>VLOOKUP($A$2,'Table of Contents'!$B:$E,2,FALSE)</f>
        <v>Confirmed</v>
      </c>
    </row>
    <row r="7" spans="1:6">
      <c r="A7" s="44" t="s">
        <v>3202</v>
      </c>
    </row>
    <row r="8" spans="1:6" ht="65" customHeight="1">
      <c r="A8" s="398" t="s">
        <v>3353</v>
      </c>
      <c r="B8" s="398"/>
      <c r="C8" s="398"/>
      <c r="D8" s="398"/>
      <c r="E8" s="398"/>
      <c r="F8" s="398"/>
    </row>
    <row r="9" spans="1:6">
      <c r="A9" s="44"/>
    </row>
    <row r="10" spans="1:6">
      <c r="A10" s="44" t="s">
        <v>3068</v>
      </c>
    </row>
    <row r="11" spans="1:6">
      <c r="A11" s="44"/>
    </row>
    <row r="12" spans="1:6" ht="30">
      <c r="A12" s="160" t="s">
        <v>0</v>
      </c>
      <c r="B12" s="169" t="s">
        <v>3200</v>
      </c>
    </row>
    <row r="13" spans="1:6">
      <c r="A13" s="128">
        <v>2005</v>
      </c>
      <c r="B13" s="189">
        <v>0</v>
      </c>
    </row>
    <row r="14" spans="1:6">
      <c r="A14" s="128">
        <v>2006</v>
      </c>
      <c r="B14" s="189">
        <v>0</v>
      </c>
    </row>
    <row r="15" spans="1:6">
      <c r="A15" s="128">
        <v>2007</v>
      </c>
      <c r="B15" s="189">
        <v>0</v>
      </c>
    </row>
    <row r="16" spans="1:6">
      <c r="A16" s="128">
        <v>2008</v>
      </c>
      <c r="B16" s="189">
        <v>0</v>
      </c>
    </row>
    <row r="17" spans="1:2">
      <c r="A17" s="128">
        <v>2009</v>
      </c>
      <c r="B17" s="189">
        <v>0</v>
      </c>
    </row>
    <row r="18" spans="1:2">
      <c r="A18" s="128">
        <v>2010</v>
      </c>
      <c r="B18" s="189">
        <v>0</v>
      </c>
    </row>
    <row r="19" spans="1:2">
      <c r="A19" s="128">
        <v>2011</v>
      </c>
      <c r="B19" s="189">
        <v>0</v>
      </c>
    </row>
    <row r="20" spans="1:2">
      <c r="A20" s="128">
        <v>2012</v>
      </c>
      <c r="B20" s="189">
        <v>0</v>
      </c>
    </row>
    <row r="21" spans="1:2">
      <c r="A21" s="128">
        <v>2013</v>
      </c>
      <c r="B21" s="189">
        <v>0</v>
      </c>
    </row>
    <row r="22" spans="1:2">
      <c r="A22" s="128">
        <v>2014</v>
      </c>
      <c r="B22" s="189">
        <v>0</v>
      </c>
    </row>
    <row r="23" spans="1:2">
      <c r="A23" s="128">
        <v>2015</v>
      </c>
      <c r="B23" s="189">
        <v>0</v>
      </c>
    </row>
    <row r="24" spans="1:2">
      <c r="A24" s="44"/>
    </row>
    <row r="25" spans="1:2">
      <c r="A25" s="44"/>
    </row>
    <row r="26" spans="1:2">
      <c r="A26" s="44"/>
    </row>
    <row r="27" spans="1:2">
      <c r="A27" s="44"/>
    </row>
    <row r="29" spans="1:2">
      <c r="A29" s="44"/>
    </row>
    <row r="30" spans="1:2">
      <c r="A30" s="44"/>
    </row>
    <row r="31" spans="1:2">
      <c r="A31" s="44"/>
    </row>
    <row r="32" spans="1:2">
      <c r="A32" s="44"/>
    </row>
    <row r="33" spans="1:1">
      <c r="A33" s="44"/>
    </row>
    <row r="34" spans="1:1">
      <c r="A34" s="125"/>
    </row>
    <row r="35" spans="1:1">
      <c r="A35" s="125"/>
    </row>
    <row r="36" spans="1:1">
      <c r="A36" s="44"/>
    </row>
    <row r="37" spans="1:1">
      <c r="A37" s="125"/>
    </row>
    <row r="38" spans="1:1">
      <c r="A38" s="125"/>
    </row>
    <row r="40" spans="1:1">
      <c r="A40" s="125"/>
    </row>
    <row r="41" spans="1:1">
      <c r="A41" s="125"/>
    </row>
    <row r="42" spans="1:1">
      <c r="A42" s="125"/>
    </row>
    <row r="86" ht="29" customHeight="1"/>
  </sheetData>
  <mergeCells count="1">
    <mergeCell ref="A8:F8"/>
  </mergeCells>
  <phoneticPr fontId="15" type="noConversion"/>
  <pageMargins left="0.7" right="0.7" top="0.75" bottom="0.75" header="0.3" footer="0.3"/>
  <pageSetup orientation="portrait"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2"/>
  <sheetViews>
    <sheetView showGridLines="0" view="pageLayout" workbookViewId="0">
      <selection activeCell="A4" sqref="A4"/>
    </sheetView>
  </sheetViews>
  <sheetFormatPr baseColWidth="10" defaultRowHeight="15" x14ac:dyDescent="0"/>
  <cols>
    <col min="2" max="4" width="19.5" customWidth="1"/>
    <col min="5" max="5" width="36" customWidth="1"/>
  </cols>
  <sheetData>
    <row r="2" spans="1:5">
      <c r="A2" s="302" t="s">
        <v>2118</v>
      </c>
    </row>
    <row r="3" spans="1:5" ht="18">
      <c r="A3" s="147" t="str">
        <f>CONCATENATE(VLOOKUP($A$2,'Table of Contents'!$B:$E,4,FALSE)," ",$A$2)</f>
        <v>3.10 Unwired Planet</v>
      </c>
    </row>
    <row r="4" spans="1:5">
      <c r="A4" t="str">
        <f>VLOOKUP($A$2,'Table of Contents'!$B:$E,3,FALSE)</f>
        <v>Public Corp</v>
      </c>
    </row>
    <row r="5" spans="1:5">
      <c r="A5" s="148" t="str">
        <f>VLOOKUP($A$2,'Table of Contents'!$B:$E,2,FALSE)</f>
        <v>Confirmed</v>
      </c>
    </row>
    <row r="6" spans="1:5">
      <c r="A6" s="148"/>
    </row>
    <row r="7" spans="1:5">
      <c r="A7" s="44" t="s">
        <v>3201</v>
      </c>
    </row>
    <row r="8" spans="1:5" ht="78" customHeight="1">
      <c r="A8" s="392" t="s">
        <v>3199</v>
      </c>
      <c r="B8" s="392"/>
      <c r="C8" s="392"/>
      <c r="D8" s="392"/>
      <c r="E8" s="392"/>
    </row>
    <row r="9" spans="1:5">
      <c r="A9" s="148"/>
    </row>
    <row r="10" spans="1:5" ht="30" customHeight="1">
      <c r="A10" s="406" t="s">
        <v>3197</v>
      </c>
      <c r="B10" s="406"/>
      <c r="C10" s="406"/>
      <c r="D10" s="406"/>
      <c r="E10" s="406"/>
    </row>
    <row r="11" spans="1:5">
      <c r="A11" s="148"/>
    </row>
    <row r="12" spans="1:5">
      <c r="A12" s="44" t="s">
        <v>3068</v>
      </c>
    </row>
    <row r="13" spans="1:5">
      <c r="A13" s="169" t="s">
        <v>0</v>
      </c>
      <c r="B13" s="169" t="s">
        <v>3196</v>
      </c>
      <c r="C13" s="169" t="s">
        <v>6</v>
      </c>
    </row>
    <row r="14" spans="1:5">
      <c r="A14" s="128">
        <v>2011</v>
      </c>
      <c r="B14" s="210">
        <v>4019000</v>
      </c>
      <c r="C14" t="s">
        <v>2773</v>
      </c>
    </row>
    <row r="15" spans="1:5">
      <c r="A15" s="128">
        <v>2012</v>
      </c>
      <c r="B15" s="210">
        <v>15050000</v>
      </c>
      <c r="C15" t="s">
        <v>2773</v>
      </c>
    </row>
    <row r="16" spans="1:5">
      <c r="A16" s="128">
        <v>2013</v>
      </c>
      <c r="B16" s="210">
        <v>121000</v>
      </c>
      <c r="C16" t="s">
        <v>2773</v>
      </c>
    </row>
    <row r="17" spans="1:9">
      <c r="A17" s="128">
        <v>2014</v>
      </c>
      <c r="B17" s="210">
        <v>36396000</v>
      </c>
      <c r="C17" t="s">
        <v>2773</v>
      </c>
    </row>
    <row r="18" spans="1:9">
      <c r="A18" s="128">
        <v>2015</v>
      </c>
      <c r="B18" s="210">
        <v>4505000</v>
      </c>
      <c r="C18" t="s">
        <v>2773</v>
      </c>
    </row>
    <row r="20" spans="1:9">
      <c r="A20" s="44" t="s">
        <v>2092</v>
      </c>
    </row>
    <row r="21" spans="1:9" ht="34" customHeight="1">
      <c r="A21" s="392" t="s">
        <v>2772</v>
      </c>
      <c r="B21" s="392"/>
      <c r="C21" s="392"/>
      <c r="D21" s="392"/>
      <c r="E21" s="392"/>
    </row>
    <row r="22" spans="1:9" ht="51" customHeight="1">
      <c r="A22" s="392" t="s">
        <v>3198</v>
      </c>
      <c r="B22" s="392"/>
      <c r="C22" s="392"/>
      <c r="D22" s="392"/>
      <c r="E22" s="392"/>
      <c r="F22" s="80"/>
      <c r="G22" s="80"/>
      <c r="H22" s="80"/>
      <c r="I22" s="80"/>
    </row>
  </sheetData>
  <mergeCells count="4">
    <mergeCell ref="A21:E21"/>
    <mergeCell ref="A22:E22"/>
    <mergeCell ref="A8:E8"/>
    <mergeCell ref="A10:E10"/>
  </mergeCells>
  <phoneticPr fontId="15" type="noConversion"/>
  <pageMargins left="0.7" right="0.7" top="0.75" bottom="0.75" header="0.3" footer="0.3"/>
  <pageSetup orientation="landscape"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8"/>
  <sheetViews>
    <sheetView showGridLines="0" view="pageLayout" workbookViewId="0">
      <selection activeCell="F3" sqref="F3"/>
    </sheetView>
  </sheetViews>
  <sheetFormatPr baseColWidth="10" defaultRowHeight="15" x14ac:dyDescent="0"/>
  <cols>
    <col min="1" max="1" width="16.33203125" style="130" customWidth="1"/>
    <col min="2" max="2" width="14" bestFit="1" customWidth="1"/>
  </cols>
  <sheetData>
    <row r="2" spans="1:7">
      <c r="A2" s="300" t="s">
        <v>2882</v>
      </c>
    </row>
    <row r="3" spans="1:7" ht="18">
      <c r="A3" s="149" t="str">
        <f>CONCATENATE(VLOOKUP($A$2,'Table of Contents'!$B:$E,4,FALSE)," ",$A$2)</f>
        <v>3.11 VirnetX</v>
      </c>
    </row>
    <row r="4" spans="1:7">
      <c r="A4" t="str">
        <f>VLOOKUP($A$2,'Table of Contents'!$B:$E,3,FALSE)</f>
        <v>Public Corp</v>
      </c>
    </row>
    <row r="5" spans="1:7">
      <c r="A5" s="148" t="str">
        <f>VLOOKUP($A$2,'Table of Contents'!$B:$E,2,FALSE)</f>
        <v>Confirmed</v>
      </c>
    </row>
    <row r="7" spans="1:7">
      <c r="A7" s="82" t="s">
        <v>3031</v>
      </c>
    </row>
    <row r="8" spans="1:7">
      <c r="A8" s="398" t="s">
        <v>3189</v>
      </c>
      <c r="B8" s="398"/>
      <c r="C8" s="398"/>
      <c r="D8" s="398"/>
      <c r="E8" s="398"/>
      <c r="F8" s="398"/>
      <c r="G8" s="398"/>
    </row>
    <row r="9" spans="1:7">
      <c r="A9" s="378"/>
      <c r="B9" s="378"/>
      <c r="C9" s="378"/>
      <c r="D9" s="378"/>
      <c r="E9" s="378"/>
      <c r="F9" s="378"/>
      <c r="G9" s="378"/>
    </row>
    <row r="10" spans="1:7">
      <c r="A10" s="378"/>
      <c r="B10" s="378"/>
      <c r="C10" s="378"/>
      <c r="D10" s="378"/>
      <c r="E10" s="378"/>
      <c r="F10" s="378"/>
      <c r="G10" s="378"/>
    </row>
    <row r="11" spans="1:7">
      <c r="A11" s="378"/>
      <c r="B11" s="378"/>
      <c r="C11" s="378"/>
      <c r="D11" s="378"/>
      <c r="E11" s="378"/>
      <c r="F11" s="378"/>
      <c r="G11" s="378"/>
    </row>
    <row r="12" spans="1:7">
      <c r="A12" s="378"/>
      <c r="B12" s="378"/>
      <c r="C12" s="378"/>
      <c r="D12" s="378"/>
      <c r="E12" s="378"/>
      <c r="F12" s="378"/>
      <c r="G12" s="378"/>
    </row>
    <row r="13" spans="1:7">
      <c r="A13" s="378"/>
      <c r="B13" s="378"/>
      <c r="C13" s="378"/>
      <c r="D13" s="378"/>
      <c r="E13" s="378"/>
      <c r="F13" s="378"/>
      <c r="G13" s="378"/>
    </row>
    <row r="14" spans="1:7">
      <c r="A14" s="378"/>
      <c r="B14" s="378"/>
      <c r="C14" s="378"/>
      <c r="D14" s="378"/>
      <c r="E14" s="378"/>
      <c r="F14" s="378"/>
      <c r="G14" s="378"/>
    </row>
    <row r="15" spans="1:7">
      <c r="A15" s="378"/>
      <c r="B15" s="378"/>
      <c r="C15" s="378"/>
      <c r="D15" s="378"/>
      <c r="E15" s="378"/>
      <c r="F15" s="378"/>
      <c r="G15" s="378"/>
    </row>
    <row r="16" spans="1:7">
      <c r="A16" s="255"/>
      <c r="B16" s="255"/>
      <c r="C16" s="255"/>
      <c r="D16" s="255"/>
      <c r="E16" s="255"/>
      <c r="F16" s="255"/>
      <c r="G16" s="255"/>
    </row>
    <row r="17" spans="1:7">
      <c r="A17" s="82" t="s">
        <v>3068</v>
      </c>
    </row>
    <row r="18" spans="1:7" ht="51" customHeight="1">
      <c r="A18" s="398" t="s">
        <v>3190</v>
      </c>
      <c r="B18" s="398"/>
      <c r="C18" s="398"/>
      <c r="D18" s="398"/>
      <c r="E18" s="398"/>
      <c r="F18" s="398"/>
      <c r="G18" s="398"/>
    </row>
    <row r="19" spans="1:7">
      <c r="A19" s="167"/>
    </row>
    <row r="20" spans="1:7">
      <c r="A20" s="172" t="s">
        <v>0</v>
      </c>
      <c r="B20" s="168" t="s">
        <v>3188</v>
      </c>
      <c r="C20" s="145" t="s">
        <v>6</v>
      </c>
    </row>
    <row r="21" spans="1:7">
      <c r="A21" s="111">
        <v>2007</v>
      </c>
      <c r="B21" s="190">
        <v>75000</v>
      </c>
      <c r="C21" t="s">
        <v>3354</v>
      </c>
    </row>
    <row r="22" spans="1:7">
      <c r="A22" s="111">
        <v>2008</v>
      </c>
      <c r="B22" s="190">
        <v>134000</v>
      </c>
      <c r="C22" t="s">
        <v>3354</v>
      </c>
    </row>
    <row r="23" spans="1:7">
      <c r="A23" s="111">
        <v>2009</v>
      </c>
      <c r="B23" s="190">
        <v>26000</v>
      </c>
      <c r="C23" t="s">
        <v>3354</v>
      </c>
    </row>
    <row r="24" spans="1:7">
      <c r="A24" s="111">
        <v>2010</v>
      </c>
      <c r="B24" s="190">
        <v>68000</v>
      </c>
      <c r="C24" t="s">
        <v>3354</v>
      </c>
    </row>
    <row r="25" spans="1:7">
      <c r="A25" s="111">
        <v>2011</v>
      </c>
      <c r="B25" s="190">
        <v>20000</v>
      </c>
      <c r="C25" t="s">
        <v>3195</v>
      </c>
    </row>
    <row r="26" spans="1:7">
      <c r="A26" s="111">
        <v>2012</v>
      </c>
      <c r="B26" s="190">
        <v>412000</v>
      </c>
      <c r="C26" t="s">
        <v>3195</v>
      </c>
    </row>
    <row r="27" spans="1:7">
      <c r="A27" s="111">
        <v>2013</v>
      </c>
      <c r="B27" s="190">
        <v>2197000</v>
      </c>
      <c r="C27" t="s">
        <v>3195</v>
      </c>
    </row>
    <row r="28" spans="1:7">
      <c r="A28" s="111">
        <v>2014</v>
      </c>
      <c r="B28" s="190">
        <v>1249000</v>
      </c>
      <c r="C28" t="s">
        <v>3195</v>
      </c>
    </row>
    <row r="29" spans="1:7">
      <c r="A29" s="111">
        <v>2015</v>
      </c>
      <c r="B29" s="190">
        <f>1.55*1000000</f>
        <v>1550000</v>
      </c>
      <c r="C29" t="s">
        <v>3195</v>
      </c>
    </row>
    <row r="30" spans="1:7">
      <c r="A30" s="167"/>
    </row>
    <row r="31" spans="1:7">
      <c r="A31" s="82" t="s">
        <v>2092</v>
      </c>
    </row>
    <row r="32" spans="1:7" ht="15" customHeight="1">
      <c r="A32" s="392" t="s">
        <v>3191</v>
      </c>
      <c r="B32" s="392"/>
      <c r="C32" s="392"/>
      <c r="D32" s="392"/>
      <c r="E32" s="392"/>
      <c r="F32" s="392"/>
      <c r="G32" s="392"/>
    </row>
    <row r="33" spans="1:7" ht="83" customHeight="1">
      <c r="A33" s="392" t="s">
        <v>3192</v>
      </c>
      <c r="B33" s="392"/>
      <c r="C33" s="392"/>
      <c r="D33" s="392"/>
      <c r="E33" s="392"/>
      <c r="F33" s="392"/>
      <c r="G33" s="392"/>
    </row>
    <row r="35" spans="1:7" ht="99" customHeight="1">
      <c r="A35" s="392" t="s">
        <v>3193</v>
      </c>
      <c r="B35" s="392"/>
      <c r="C35" s="392"/>
      <c r="D35" s="392"/>
      <c r="E35" s="392"/>
      <c r="F35" s="392"/>
      <c r="G35" s="392"/>
    </row>
    <row r="37" spans="1:7">
      <c r="A37" s="82" t="s">
        <v>3067</v>
      </c>
    </row>
    <row r="38" spans="1:7" ht="85" customHeight="1">
      <c r="A38" s="392" t="s">
        <v>3194</v>
      </c>
      <c r="B38" s="392"/>
      <c r="C38" s="392"/>
      <c r="D38" s="392"/>
      <c r="E38" s="392"/>
      <c r="F38" s="392"/>
      <c r="G38" s="392"/>
    </row>
  </sheetData>
  <mergeCells count="6">
    <mergeCell ref="A8:G15"/>
    <mergeCell ref="A18:G18"/>
    <mergeCell ref="A38:G38"/>
    <mergeCell ref="A32:G32"/>
    <mergeCell ref="A33:G33"/>
    <mergeCell ref="A35:G35"/>
  </mergeCells>
  <phoneticPr fontId="15" type="noConversion"/>
  <pageMargins left="0.7" right="0.7" top="0.75" bottom="0.75" header="0.3" footer="0.3"/>
  <pageSetup orientation="portrait"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68"/>
  <sheetViews>
    <sheetView showGridLines="0" view="pageLayout" workbookViewId="0">
      <selection activeCell="A18" sqref="A18"/>
    </sheetView>
  </sheetViews>
  <sheetFormatPr baseColWidth="10" defaultRowHeight="15" x14ac:dyDescent="0"/>
  <cols>
    <col min="1" max="1" width="21.83203125" customWidth="1"/>
    <col min="2" max="2" width="13.6640625" customWidth="1"/>
    <col min="3" max="3" width="13" customWidth="1"/>
  </cols>
  <sheetData>
    <row r="2" spans="1:6">
      <c r="A2" s="246" t="s">
        <v>2885</v>
      </c>
    </row>
    <row r="3" spans="1:6" ht="18">
      <c r="A3" s="147" t="str">
        <f>CONCATENATE(VLOOKUP($A$2,'Table of Contents'!$B:$E,4,FALSE)," ",$A$2)</f>
        <v>3.12 Marathon Patent Group</v>
      </c>
    </row>
    <row r="4" spans="1:6">
      <c r="A4" t="str">
        <f>VLOOKUP($A$2,'Table of Contents'!$B:$E,3,FALSE)</f>
        <v>Public Corp</v>
      </c>
    </row>
    <row r="5" spans="1:6">
      <c r="A5" s="148" t="str">
        <f>VLOOKUP($A$2,'Table of Contents'!$B:$E,2,FALSE)</f>
        <v>Approximated</v>
      </c>
    </row>
    <row r="7" spans="1:6">
      <c r="A7" s="44" t="s">
        <v>3031</v>
      </c>
    </row>
    <row r="8" spans="1:6">
      <c r="A8" s="383" t="s">
        <v>3472</v>
      </c>
      <c r="B8" s="383"/>
      <c r="C8" s="383"/>
      <c r="D8" s="383"/>
      <c r="E8" s="383"/>
      <c r="F8" s="383"/>
    </row>
    <row r="9" spans="1:6">
      <c r="A9" s="383"/>
      <c r="B9" s="383"/>
      <c r="C9" s="383"/>
      <c r="D9" s="383"/>
      <c r="E9" s="383"/>
      <c r="F9" s="383"/>
    </row>
    <row r="10" spans="1:6">
      <c r="A10" s="383"/>
      <c r="B10" s="383"/>
      <c r="C10" s="383"/>
      <c r="D10" s="383"/>
      <c r="E10" s="383"/>
      <c r="F10" s="383"/>
    </row>
    <row r="11" spans="1:6">
      <c r="A11" s="383"/>
      <c r="B11" s="383"/>
      <c r="C11" s="383"/>
      <c r="D11" s="383"/>
      <c r="E11" s="383"/>
      <c r="F11" s="383"/>
    </row>
    <row r="13" spans="1:6">
      <c r="A13" s="44" t="s">
        <v>3068</v>
      </c>
    </row>
    <row r="14" spans="1:6">
      <c r="A14" s="383" t="s">
        <v>3473</v>
      </c>
      <c r="B14" s="383"/>
      <c r="C14" s="383"/>
      <c r="D14" s="383"/>
      <c r="E14" s="383"/>
      <c r="F14" s="383"/>
    </row>
    <row r="15" spans="1:6">
      <c r="A15" s="383"/>
      <c r="B15" s="383"/>
      <c r="C15" s="383"/>
      <c r="D15" s="383"/>
      <c r="E15" s="383"/>
      <c r="F15" s="383"/>
    </row>
    <row r="16" spans="1:6">
      <c r="A16" s="383"/>
      <c r="B16" s="383"/>
      <c r="C16" s="383"/>
      <c r="D16" s="383"/>
      <c r="E16" s="383"/>
      <c r="F16" s="383"/>
    </row>
    <row r="17" spans="1:6">
      <c r="A17" s="383"/>
      <c r="B17" s="383"/>
      <c r="C17" s="383"/>
      <c r="D17" s="383"/>
      <c r="E17" s="383"/>
      <c r="F17" s="383"/>
    </row>
    <row r="19" spans="1:6">
      <c r="A19" s="44" t="s">
        <v>3067</v>
      </c>
    </row>
    <row r="20" spans="1:6">
      <c r="A20" s="383" t="s">
        <v>3474</v>
      </c>
      <c r="B20" s="383"/>
      <c r="C20" s="383"/>
      <c r="D20" s="383"/>
      <c r="E20" s="383"/>
      <c r="F20" s="383"/>
    </row>
    <row r="21" spans="1:6">
      <c r="A21" s="383"/>
      <c r="B21" s="383"/>
      <c r="C21" s="383"/>
      <c r="D21" s="383"/>
      <c r="E21" s="383"/>
      <c r="F21" s="383"/>
    </row>
    <row r="22" spans="1:6">
      <c r="A22" s="383"/>
      <c r="B22" s="383"/>
      <c r="C22" s="383"/>
      <c r="D22" s="383"/>
      <c r="E22" s="383"/>
      <c r="F22" s="383"/>
    </row>
    <row r="23" spans="1:6">
      <c r="A23" s="383"/>
      <c r="B23" s="383"/>
      <c r="C23" s="383"/>
      <c r="D23" s="383"/>
      <c r="E23" s="383"/>
      <c r="F23" s="383"/>
    </row>
    <row r="25" spans="1:6">
      <c r="A25" s="44" t="s">
        <v>2092</v>
      </c>
    </row>
    <row r="26" spans="1:6" ht="112" customHeight="1">
      <c r="A26" s="392" t="s">
        <v>3464</v>
      </c>
      <c r="B26" s="392"/>
      <c r="C26" s="392"/>
      <c r="D26" s="392"/>
      <c r="E26" s="392"/>
    </row>
    <row r="27" spans="1:6" ht="18" customHeight="1">
      <c r="A27" s="294"/>
      <c r="B27" s="294"/>
      <c r="C27" s="294"/>
      <c r="D27" s="294"/>
      <c r="E27" s="294"/>
    </row>
    <row r="28" spans="1:6" s="293" customFormat="1" ht="66" customHeight="1">
      <c r="A28" s="392" t="s">
        <v>3465</v>
      </c>
      <c r="B28" s="392"/>
      <c r="C28" s="392"/>
      <c r="D28" s="392"/>
      <c r="E28" s="392"/>
    </row>
    <row r="30" spans="1:6">
      <c r="A30" t="s">
        <v>3467</v>
      </c>
    </row>
    <row r="31" spans="1:6">
      <c r="A31" t="s">
        <v>3468</v>
      </c>
    </row>
    <row r="35" spans="1:4">
      <c r="A35" t="s">
        <v>2925</v>
      </c>
    </row>
    <row r="36" spans="1:4">
      <c r="A36" t="s">
        <v>2926</v>
      </c>
    </row>
    <row r="38" spans="1:4">
      <c r="A38" s="160" t="s">
        <v>0</v>
      </c>
      <c r="B38" s="160" t="s">
        <v>3470</v>
      </c>
      <c r="C38" s="160" t="s">
        <v>6</v>
      </c>
    </row>
    <row r="39" spans="1:4">
      <c r="A39" s="296">
        <v>2015</v>
      </c>
      <c r="B39" s="190">
        <v>18997794</v>
      </c>
      <c r="C39" s="296" t="s">
        <v>2941</v>
      </c>
    </row>
    <row r="40" spans="1:4">
      <c r="A40" s="296">
        <v>2014</v>
      </c>
      <c r="B40" s="190">
        <v>21404469</v>
      </c>
      <c r="C40" s="296" t="s">
        <v>2941</v>
      </c>
    </row>
    <row r="41" spans="1:4">
      <c r="A41" s="296">
        <v>2013</v>
      </c>
      <c r="B41" s="190">
        <v>3418371</v>
      </c>
      <c r="C41" s="296" t="s">
        <v>2942</v>
      </c>
    </row>
    <row r="42" spans="1:4">
      <c r="B42" s="1"/>
    </row>
    <row r="43" spans="1:4">
      <c r="A43" t="s">
        <v>3459</v>
      </c>
    </row>
    <row r="45" spans="1:4">
      <c r="A45" s="145" t="s">
        <v>3462</v>
      </c>
      <c r="B45" s="160" t="s">
        <v>3469</v>
      </c>
      <c r="C45" s="160" t="s">
        <v>3458</v>
      </c>
      <c r="D45" s="160" t="s">
        <v>2</v>
      </c>
    </row>
    <row r="46" spans="1:4">
      <c r="A46" t="s">
        <v>2927</v>
      </c>
      <c r="B46" s="190">
        <v>3300000</v>
      </c>
      <c r="C46" s="296">
        <v>17</v>
      </c>
      <c r="D46" t="s">
        <v>3466</v>
      </c>
    </row>
    <row r="47" spans="1:4">
      <c r="A47" t="s">
        <v>2928</v>
      </c>
      <c r="B47" s="190">
        <v>2750000</v>
      </c>
      <c r="C47" s="296">
        <v>15</v>
      </c>
      <c r="D47" t="s">
        <v>2931</v>
      </c>
    </row>
    <row r="48" spans="1:4">
      <c r="A48" t="s">
        <v>2930</v>
      </c>
      <c r="B48" s="190">
        <v>2050000</v>
      </c>
      <c r="C48" s="296">
        <v>11</v>
      </c>
      <c r="D48" t="s">
        <v>2932</v>
      </c>
    </row>
    <row r="49" spans="1:4">
      <c r="A49" t="s">
        <v>2929</v>
      </c>
      <c r="B49" s="190">
        <v>1870790</v>
      </c>
      <c r="C49" s="296">
        <v>10</v>
      </c>
      <c r="D49" t="s">
        <v>3463</v>
      </c>
    </row>
    <row r="50" spans="1:4">
      <c r="A50" t="s">
        <v>2929</v>
      </c>
      <c r="B50" s="190">
        <v>1800000</v>
      </c>
      <c r="C50" s="296">
        <v>9</v>
      </c>
      <c r="D50" t="s">
        <v>3463</v>
      </c>
    </row>
    <row r="51" spans="1:4">
      <c r="A51" s="109" t="s">
        <v>94</v>
      </c>
      <c r="B51" s="214">
        <f>SUM(B46:B50)</f>
        <v>11770790</v>
      </c>
      <c r="C51" s="257">
        <v>62</v>
      </c>
    </row>
    <row r="53" spans="1:4">
      <c r="A53" t="s">
        <v>3460</v>
      </c>
    </row>
    <row r="55" spans="1:4">
      <c r="A55" s="145" t="s">
        <v>3462</v>
      </c>
      <c r="B55" s="160" t="s">
        <v>3469</v>
      </c>
      <c r="C55" s="160" t="s">
        <v>3458</v>
      </c>
      <c r="D55" s="160" t="s">
        <v>2</v>
      </c>
    </row>
    <row r="56" spans="1:4">
      <c r="A56" t="s">
        <v>2933</v>
      </c>
      <c r="B56" s="190">
        <v>10500000</v>
      </c>
      <c r="C56" s="296">
        <v>49</v>
      </c>
      <c r="D56" t="s">
        <v>2939</v>
      </c>
    </row>
    <row r="57" spans="1:4">
      <c r="A57" t="s">
        <v>2934</v>
      </c>
      <c r="B57" s="190">
        <v>2900000</v>
      </c>
      <c r="C57" s="296">
        <v>14</v>
      </c>
      <c r="D57" t="s">
        <v>2919</v>
      </c>
    </row>
    <row r="58" spans="1:4">
      <c r="A58" t="s">
        <v>2935</v>
      </c>
      <c r="B58" s="190">
        <v>2800000</v>
      </c>
      <c r="C58" s="296">
        <v>13</v>
      </c>
      <c r="D58" t="s">
        <v>2938</v>
      </c>
    </row>
    <row r="59" spans="1:4">
      <c r="A59" t="s">
        <v>2937</v>
      </c>
      <c r="B59" s="190">
        <v>1750000</v>
      </c>
      <c r="C59" s="296">
        <v>8</v>
      </c>
      <c r="D59" t="s">
        <v>2940</v>
      </c>
    </row>
    <row r="60" spans="1:4">
      <c r="A60" t="s">
        <v>2936</v>
      </c>
      <c r="B60" s="190">
        <v>937500</v>
      </c>
      <c r="C60" s="296">
        <v>4</v>
      </c>
      <c r="D60" t="s">
        <v>3463</v>
      </c>
    </row>
    <row r="61" spans="1:4">
      <c r="A61" s="109" t="s">
        <v>94</v>
      </c>
      <c r="B61" s="323">
        <f>SUM(B56:B60)</f>
        <v>18887500</v>
      </c>
      <c r="C61" s="257">
        <v>88</v>
      </c>
    </row>
    <row r="63" spans="1:4">
      <c r="A63" t="s">
        <v>3471</v>
      </c>
    </row>
    <row r="65" spans="1:2">
      <c r="A65" s="160" t="s">
        <v>0</v>
      </c>
      <c r="B65" s="160" t="s">
        <v>3461</v>
      </c>
    </row>
    <row r="66" spans="1:2">
      <c r="A66" s="296">
        <v>2013</v>
      </c>
      <c r="B66" s="190">
        <v>0</v>
      </c>
    </row>
    <row r="67" spans="1:2">
      <c r="A67" s="296">
        <v>2014</v>
      </c>
      <c r="B67" s="190">
        <v>0</v>
      </c>
    </row>
    <row r="68" spans="1:2">
      <c r="A68" s="296">
        <v>2015</v>
      </c>
      <c r="B68" s="190">
        <v>0</v>
      </c>
    </row>
  </sheetData>
  <mergeCells count="5">
    <mergeCell ref="A26:E26"/>
    <mergeCell ref="A28:E28"/>
    <mergeCell ref="A8:F11"/>
    <mergeCell ref="A14:F17"/>
    <mergeCell ref="A20:F23"/>
  </mergeCells>
  <phoneticPr fontId="15" type="noConversion"/>
  <pageMargins left="0.7" right="0.7" top="0.75" bottom="0.75" header="0.3" footer="0.3"/>
  <pageSetup orientation="portrait"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432FF"/>
  </sheetPr>
  <dimension ref="A12:A41"/>
  <sheetViews>
    <sheetView showGridLines="0" view="pageLayout" workbookViewId="0">
      <selection activeCell="M38" sqref="M38"/>
    </sheetView>
  </sheetViews>
  <sheetFormatPr baseColWidth="10" defaultRowHeight="15" x14ac:dyDescent="0"/>
  <cols>
    <col min="1" max="1" width="75.83203125" customWidth="1"/>
  </cols>
  <sheetData>
    <row r="12" spans="1:1" ht="25">
      <c r="A12" s="152" t="s">
        <v>3044</v>
      </c>
    </row>
    <row r="13" spans="1:1" ht="25">
      <c r="A13" s="152" t="s">
        <v>2790</v>
      </c>
    </row>
    <row r="15" spans="1:1">
      <c r="A15" s="383" t="s">
        <v>3048</v>
      </c>
    </row>
    <row r="16" spans="1:1">
      <c r="A16" s="407"/>
    </row>
    <row r="17" spans="1:1">
      <c r="A17" s="407"/>
    </row>
    <row r="18" spans="1:1">
      <c r="A18" s="407"/>
    </row>
    <row r="19" spans="1:1">
      <c r="A19" s="407"/>
    </row>
    <row r="20" spans="1:1">
      <c r="A20" s="407"/>
    </row>
    <row r="21" spans="1:1">
      <c r="A21" s="407"/>
    </row>
    <row r="22" spans="1:1">
      <c r="A22" s="407"/>
    </row>
    <row r="23" spans="1:1">
      <c r="A23" s="407"/>
    </row>
    <row r="24" spans="1:1">
      <c r="A24" s="407"/>
    </row>
    <row r="25" spans="1:1">
      <c r="A25" s="407"/>
    </row>
    <row r="26" spans="1:1">
      <c r="A26" s="407"/>
    </row>
    <row r="27" spans="1:1">
      <c r="A27" s="407"/>
    </row>
    <row r="28" spans="1:1">
      <c r="A28" s="407"/>
    </row>
    <row r="29" spans="1:1">
      <c r="A29" s="407"/>
    </row>
    <row r="30" spans="1:1">
      <c r="A30" s="407"/>
    </row>
    <row r="31" spans="1:1">
      <c r="A31" s="407"/>
    </row>
    <row r="32" spans="1:1">
      <c r="A32" s="407"/>
    </row>
    <row r="33" spans="1:1">
      <c r="A33" s="407"/>
    </row>
    <row r="34" spans="1:1">
      <c r="A34" s="407"/>
    </row>
    <row r="35" spans="1:1">
      <c r="A35" s="407"/>
    </row>
    <row r="36" spans="1:1">
      <c r="A36" s="407"/>
    </row>
    <row r="37" spans="1:1">
      <c r="A37" s="407"/>
    </row>
    <row r="38" spans="1:1">
      <c r="A38" s="407"/>
    </row>
    <row r="39" spans="1:1">
      <c r="A39" s="407"/>
    </row>
    <row r="40" spans="1:1">
      <c r="A40" s="407"/>
    </row>
    <row r="41" spans="1:1">
      <c r="A41" s="407"/>
    </row>
  </sheetData>
  <mergeCells count="1">
    <mergeCell ref="A15:A41"/>
  </mergeCells>
  <phoneticPr fontId="15" type="noConversion"/>
  <pageMargins left="0.7" right="0.7" top="0.75" bottom="0.75" header="0.3" footer="0.3"/>
  <pageSetup orientation="portrait" horizontalDpi="4294967292" verticalDpi="4294967292"/>
  <headerFooter>
    <oddHeader>&amp;LA New Dataset on Mobile Phone _x000D_Patent License Royalties&amp;RSeptember 2016 Update</oddHeader>
    <oddFooter>&amp;LAlexander Galetovic, Stephen Haber, _x000D_and Lew Zaretzki</oddFooter>
  </headerFooter>
  <extLst>
    <ext xmlns:mx="http://schemas.microsoft.com/office/mac/excel/2008/main" uri="{64002731-A6B0-56B0-2670-7721B7C09600}">
      <mx:PLV Mode="1" OnePage="0" WScale="100"/>
    </ext>
  </extLst>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1118"/>
  <sheetViews>
    <sheetView showGridLines="0" view="pageLayout" workbookViewId="0">
      <selection activeCell="E1" sqref="E1"/>
    </sheetView>
  </sheetViews>
  <sheetFormatPr baseColWidth="10" defaultColWidth="10.83203125" defaultRowHeight="15" x14ac:dyDescent="0"/>
  <cols>
    <col min="1" max="1" width="46.5" style="16" customWidth="1"/>
    <col min="2" max="2" width="18" style="16" customWidth="1"/>
    <col min="3" max="3" width="15.33203125" style="16" customWidth="1"/>
    <col min="4" max="4" width="14.1640625" style="16" customWidth="1"/>
    <col min="5" max="5" width="18" style="16" customWidth="1"/>
    <col min="6" max="8" width="13.1640625" style="16" customWidth="1"/>
    <col min="9" max="17" width="7.6640625" style="16" customWidth="1"/>
    <col min="18" max="25" width="10.6640625" style="16" customWidth="1"/>
    <col min="26" max="27" width="12.6640625" style="16" customWidth="1"/>
    <col min="28" max="16384" width="10.83203125" style="16"/>
  </cols>
  <sheetData>
    <row r="2" spans="1:1">
      <c r="A2" s="301" t="s">
        <v>3035</v>
      </c>
    </row>
    <row r="3" spans="1:1" ht="18">
      <c r="A3" s="198" t="str">
        <f>CONCATENATE(VLOOKUP($A$2,'Table of Contents'!$B:$E,4,FALSE)," ",$A$2)</f>
        <v>4.1 Via Licensing AAC</v>
      </c>
    </row>
    <row r="4" spans="1:1">
      <c r="A4" t="str">
        <f>VLOOKUP($A$2,'Table of Contents'!$B:$E,3,FALSE)</f>
        <v>Pool</v>
      </c>
    </row>
    <row r="5" spans="1:1">
      <c r="A5" s="148" t="str">
        <f>VLOOKUP($A$2,'Table of Contents'!$B:$E,2,FALSE)</f>
        <v>Documented</v>
      </c>
    </row>
    <row r="6" spans="1:1">
      <c r="A6" s="202"/>
    </row>
    <row r="7" spans="1:1">
      <c r="A7" s="16" t="s">
        <v>2119</v>
      </c>
    </row>
    <row r="8" spans="1:1">
      <c r="A8" s="16" t="s">
        <v>2120</v>
      </c>
    </row>
    <row r="9" spans="1:1">
      <c r="A9" s="16" t="s">
        <v>2121</v>
      </c>
    </row>
    <row r="10" spans="1:1">
      <c r="A10" s="16" t="s">
        <v>2122</v>
      </c>
    </row>
    <row r="11" spans="1:1">
      <c r="A11" s="16" t="s">
        <v>2123</v>
      </c>
    </row>
    <row r="13" spans="1:1">
      <c r="A13" s="16" t="s">
        <v>2124</v>
      </c>
    </row>
    <row r="14" spans="1:1">
      <c r="A14" s="16" t="s">
        <v>2125</v>
      </c>
    </row>
    <row r="15" spans="1:1">
      <c r="A15" s="16" t="s">
        <v>2126</v>
      </c>
    </row>
    <row r="17" spans="1:2">
      <c r="A17" s="269" t="s">
        <v>3329</v>
      </c>
      <c r="B17" s="275" t="s">
        <v>2128</v>
      </c>
    </row>
    <row r="18" spans="1:2">
      <c r="A18" s="16" t="s">
        <v>2127</v>
      </c>
      <c r="B18" s="207">
        <v>0.98</v>
      </c>
    </row>
    <row r="19" spans="1:2">
      <c r="A19" s="16" t="s">
        <v>2129</v>
      </c>
      <c r="B19" s="207">
        <v>0.78</v>
      </c>
    </row>
    <row r="20" spans="1:2">
      <c r="A20" s="16" t="s">
        <v>2130</v>
      </c>
      <c r="B20" s="207">
        <v>0.68</v>
      </c>
    </row>
    <row r="21" spans="1:2">
      <c r="A21" s="16" t="s">
        <v>2131</v>
      </c>
      <c r="B21" s="207">
        <v>0.45</v>
      </c>
    </row>
    <row r="22" spans="1:2">
      <c r="A22" s="16" t="s">
        <v>2132</v>
      </c>
      <c r="B22" s="207">
        <v>0.42</v>
      </c>
    </row>
    <row r="23" spans="1:2">
      <c r="A23" s="16" t="s">
        <v>2133</v>
      </c>
      <c r="B23" s="207">
        <v>0.22</v>
      </c>
    </row>
    <row r="24" spans="1:2">
      <c r="A24" s="16" t="s">
        <v>2134</v>
      </c>
      <c r="B24" s="207">
        <v>0.2</v>
      </c>
    </row>
    <row r="25" spans="1:2">
      <c r="A25" s="16" t="s">
        <v>2135</v>
      </c>
      <c r="B25" s="207">
        <v>0.15</v>
      </c>
    </row>
    <row r="26" spans="1:2">
      <c r="A26" s="16" t="s">
        <v>2136</v>
      </c>
      <c r="B26" s="207">
        <v>0.1</v>
      </c>
    </row>
    <row r="27" spans="1:2">
      <c r="A27" s="16" t="s">
        <v>2705</v>
      </c>
    </row>
    <row r="30" spans="1:2">
      <c r="A30" s="269" t="s">
        <v>2777</v>
      </c>
    </row>
    <row r="31" spans="1:2">
      <c r="A31" s="16" t="s">
        <v>2706</v>
      </c>
    </row>
    <row r="32" spans="1:2">
      <c r="A32" s="16" t="s">
        <v>373</v>
      </c>
    </row>
    <row r="33" spans="1:1">
      <c r="A33" s="16" t="s">
        <v>2319</v>
      </c>
    </row>
    <row r="34" spans="1:1">
      <c r="A34" s="16" t="s">
        <v>526</v>
      </c>
    </row>
    <row r="35" spans="1:1">
      <c r="A35" s="16" t="s">
        <v>846</v>
      </c>
    </row>
    <row r="36" spans="1:1">
      <c r="A36" s="16" t="s">
        <v>595</v>
      </c>
    </row>
    <row r="37" spans="1:1">
      <c r="A37" s="16" t="s">
        <v>1469</v>
      </c>
    </row>
    <row r="38" spans="1:1">
      <c r="A38" s="16" t="s">
        <v>1052</v>
      </c>
    </row>
    <row r="39" spans="1:1">
      <c r="A39" s="16" t="s">
        <v>849</v>
      </c>
    </row>
    <row r="40" spans="1:1">
      <c r="A40" s="16" t="s">
        <v>1472</v>
      </c>
    </row>
    <row r="42" spans="1:1">
      <c r="A42" s="269" t="s">
        <v>2890</v>
      </c>
    </row>
    <row r="43" spans="1:1">
      <c r="A43" s="16" t="s">
        <v>1477</v>
      </c>
    </row>
    <row r="44" spans="1:1">
      <c r="A44" s="16" t="s">
        <v>2137</v>
      </c>
    </row>
    <row r="45" spans="1:1">
      <c r="A45" s="16" t="s">
        <v>2138</v>
      </c>
    </row>
    <row r="46" spans="1:1">
      <c r="A46" s="16" t="s">
        <v>2139</v>
      </c>
    </row>
    <row r="47" spans="1:1">
      <c r="A47" s="16" t="s">
        <v>2140</v>
      </c>
    </row>
    <row r="48" spans="1:1">
      <c r="A48" s="16" t="s">
        <v>222</v>
      </c>
    </row>
    <row r="49" spans="1:1">
      <c r="A49" s="16" t="s">
        <v>2141</v>
      </c>
    </row>
    <row r="50" spans="1:1">
      <c r="A50" s="16" t="s">
        <v>2142</v>
      </c>
    </row>
    <row r="51" spans="1:1">
      <c r="A51" s="16" t="s">
        <v>2143</v>
      </c>
    </row>
    <row r="52" spans="1:1">
      <c r="A52" s="16" t="s">
        <v>2144</v>
      </c>
    </row>
    <row r="53" spans="1:1">
      <c r="A53" s="16" t="s">
        <v>2145</v>
      </c>
    </row>
    <row r="54" spans="1:1">
      <c r="A54" s="16" t="s">
        <v>2146</v>
      </c>
    </row>
    <row r="55" spans="1:1">
      <c r="A55" s="16" t="s">
        <v>2147</v>
      </c>
    </row>
    <row r="56" spans="1:1">
      <c r="A56" s="16" t="s">
        <v>226</v>
      </c>
    </row>
    <row r="57" spans="1:1">
      <c r="A57" s="16" t="s">
        <v>2148</v>
      </c>
    </row>
    <row r="58" spans="1:1">
      <c r="A58" s="16" t="s">
        <v>1492</v>
      </c>
    </row>
    <row r="59" spans="1:1">
      <c r="A59" s="16" t="s">
        <v>2149</v>
      </c>
    </row>
    <row r="60" spans="1:1">
      <c r="A60" s="16" t="s">
        <v>2150</v>
      </c>
    </row>
    <row r="61" spans="1:1">
      <c r="A61" s="16" t="s">
        <v>2151</v>
      </c>
    </row>
    <row r="62" spans="1:1">
      <c r="A62" s="16" t="s">
        <v>2152</v>
      </c>
    </row>
    <row r="63" spans="1:1">
      <c r="A63" s="16" t="s">
        <v>2153</v>
      </c>
    </row>
    <row r="64" spans="1:1">
      <c r="A64" s="16" t="s">
        <v>2154</v>
      </c>
    </row>
    <row r="65" spans="1:1">
      <c r="A65" s="16" t="s">
        <v>2155</v>
      </c>
    </row>
    <row r="66" spans="1:1">
      <c r="A66" s="16" t="s">
        <v>2156</v>
      </c>
    </row>
    <row r="67" spans="1:1">
      <c r="A67" s="16" t="s">
        <v>2157</v>
      </c>
    </row>
    <row r="68" spans="1:1">
      <c r="A68" s="16" t="s">
        <v>2158</v>
      </c>
    </row>
    <row r="69" spans="1:1">
      <c r="A69" s="16" t="s">
        <v>2159</v>
      </c>
    </row>
    <row r="70" spans="1:1">
      <c r="A70" s="16" t="s">
        <v>2160</v>
      </c>
    </row>
    <row r="71" spans="1:1">
      <c r="A71" s="16" t="s">
        <v>1501</v>
      </c>
    </row>
    <row r="72" spans="1:1">
      <c r="A72" s="16" t="s">
        <v>2161</v>
      </c>
    </row>
    <row r="73" spans="1:1">
      <c r="A73" s="16" t="s">
        <v>235</v>
      </c>
    </row>
    <row r="74" spans="1:1">
      <c r="A74" s="16" t="s">
        <v>2162</v>
      </c>
    </row>
    <row r="75" spans="1:1">
      <c r="A75" s="16" t="s">
        <v>2163</v>
      </c>
    </row>
    <row r="76" spans="1:1">
      <c r="A76" s="16" t="s">
        <v>236</v>
      </c>
    </row>
    <row r="77" spans="1:1">
      <c r="A77" s="16" t="s">
        <v>2164</v>
      </c>
    </row>
    <row r="78" spans="1:1">
      <c r="A78" s="16" t="s">
        <v>2165</v>
      </c>
    </row>
    <row r="79" spans="1:1">
      <c r="A79" s="16" t="s">
        <v>237</v>
      </c>
    </row>
    <row r="80" spans="1:1">
      <c r="A80" s="16" t="s">
        <v>2166</v>
      </c>
    </row>
    <row r="81" spans="1:1">
      <c r="A81" s="16" t="s">
        <v>238</v>
      </c>
    </row>
    <row r="82" spans="1:1">
      <c r="A82" s="16" t="s">
        <v>2167</v>
      </c>
    </row>
    <row r="83" spans="1:1">
      <c r="A83" s="16" t="s">
        <v>2168</v>
      </c>
    </row>
    <row r="84" spans="1:1">
      <c r="A84" s="16" t="s">
        <v>2169</v>
      </c>
    </row>
    <row r="85" spans="1:1">
      <c r="A85" s="16" t="s">
        <v>2170</v>
      </c>
    </row>
    <row r="86" spans="1:1">
      <c r="A86" s="16" t="s">
        <v>2171</v>
      </c>
    </row>
    <row r="87" spans="1:1">
      <c r="A87" s="16" t="s">
        <v>2172</v>
      </c>
    </row>
    <row r="88" spans="1:1">
      <c r="A88" s="16" t="s">
        <v>2173</v>
      </c>
    </row>
    <row r="89" spans="1:1">
      <c r="A89" s="16" t="s">
        <v>2174</v>
      </c>
    </row>
    <row r="90" spans="1:1">
      <c r="A90" s="16" t="s">
        <v>2175</v>
      </c>
    </row>
    <row r="91" spans="1:1">
      <c r="A91" s="16" t="s">
        <v>2176</v>
      </c>
    </row>
    <row r="92" spans="1:1">
      <c r="A92" s="16" t="s">
        <v>243</v>
      </c>
    </row>
    <row r="93" spans="1:1">
      <c r="A93" s="16" t="s">
        <v>875</v>
      </c>
    </row>
    <row r="94" spans="1:1">
      <c r="A94" s="16" t="s">
        <v>2177</v>
      </c>
    </row>
    <row r="95" spans="1:1">
      <c r="A95" s="16" t="s">
        <v>2178</v>
      </c>
    </row>
    <row r="96" spans="1:1">
      <c r="A96" s="16" t="s">
        <v>2179</v>
      </c>
    </row>
    <row r="97" spans="1:1">
      <c r="A97" s="16" t="s">
        <v>2180</v>
      </c>
    </row>
    <row r="98" spans="1:1">
      <c r="A98" s="16" t="s">
        <v>2181</v>
      </c>
    </row>
    <row r="99" spans="1:1">
      <c r="A99" s="16" t="s">
        <v>2182</v>
      </c>
    </row>
    <row r="100" spans="1:1">
      <c r="A100" s="16" t="s">
        <v>2183</v>
      </c>
    </row>
    <row r="101" spans="1:1">
      <c r="A101" s="16" t="s">
        <v>2184</v>
      </c>
    </row>
    <row r="102" spans="1:1">
      <c r="A102" s="16" t="s">
        <v>2185</v>
      </c>
    </row>
    <row r="103" spans="1:1">
      <c r="A103" s="16" t="s">
        <v>2186</v>
      </c>
    </row>
    <row r="104" spans="1:1">
      <c r="A104" s="16" t="s">
        <v>256</v>
      </c>
    </row>
    <row r="105" spans="1:1">
      <c r="A105" s="16" t="s">
        <v>2187</v>
      </c>
    </row>
    <row r="106" spans="1:1">
      <c r="A106" s="16" t="s">
        <v>2188</v>
      </c>
    </row>
    <row r="107" spans="1:1">
      <c r="A107" s="16" t="s">
        <v>2189</v>
      </c>
    </row>
    <row r="108" spans="1:1">
      <c r="A108" s="16" t="s">
        <v>2190</v>
      </c>
    </row>
    <row r="109" spans="1:1">
      <c r="A109" s="16" t="s">
        <v>2191</v>
      </c>
    </row>
    <row r="110" spans="1:1">
      <c r="A110" s="16" t="s">
        <v>1523</v>
      </c>
    </row>
    <row r="111" spans="1:1">
      <c r="A111" s="16" t="s">
        <v>2192</v>
      </c>
    </row>
    <row r="112" spans="1:1">
      <c r="A112" s="16" t="s">
        <v>260</v>
      </c>
    </row>
    <row r="113" spans="1:1">
      <c r="A113" s="16" t="s">
        <v>261</v>
      </c>
    </row>
    <row r="114" spans="1:1">
      <c r="A114" s="16" t="s">
        <v>880</v>
      </c>
    </row>
    <row r="115" spans="1:1">
      <c r="A115" s="16" t="s">
        <v>2193</v>
      </c>
    </row>
    <row r="116" spans="1:1">
      <c r="A116" s="16" t="s">
        <v>2194</v>
      </c>
    </row>
    <row r="117" spans="1:1">
      <c r="A117" s="16" t="s">
        <v>2195</v>
      </c>
    </row>
    <row r="118" spans="1:1">
      <c r="A118" s="16" t="s">
        <v>2196</v>
      </c>
    </row>
    <row r="119" spans="1:1">
      <c r="A119" s="16" t="s">
        <v>265</v>
      </c>
    </row>
    <row r="120" spans="1:1">
      <c r="A120" s="16" t="s">
        <v>2197</v>
      </c>
    </row>
    <row r="121" spans="1:1">
      <c r="A121" s="16" t="s">
        <v>2198</v>
      </c>
    </row>
    <row r="122" spans="1:1">
      <c r="A122" s="16" t="s">
        <v>1525</v>
      </c>
    </row>
    <row r="123" spans="1:1">
      <c r="A123" s="16" t="s">
        <v>2199</v>
      </c>
    </row>
    <row r="124" spans="1:1">
      <c r="A124" s="16" t="s">
        <v>268</v>
      </c>
    </row>
    <row r="125" spans="1:1">
      <c r="A125" s="16" t="s">
        <v>2200</v>
      </c>
    </row>
    <row r="126" spans="1:1">
      <c r="A126" s="16" t="s">
        <v>2201</v>
      </c>
    </row>
    <row r="127" spans="1:1">
      <c r="A127" s="16" t="s">
        <v>2202</v>
      </c>
    </row>
    <row r="128" spans="1:1">
      <c r="A128" s="16" t="s">
        <v>2203</v>
      </c>
    </row>
    <row r="129" spans="1:1">
      <c r="A129" s="16" t="s">
        <v>887</v>
      </c>
    </row>
    <row r="130" spans="1:1">
      <c r="A130" s="16" t="s">
        <v>2204</v>
      </c>
    </row>
    <row r="131" spans="1:1">
      <c r="A131" s="16" t="s">
        <v>2205</v>
      </c>
    </row>
    <row r="132" spans="1:1">
      <c r="A132" s="16" t="s">
        <v>2206</v>
      </c>
    </row>
    <row r="133" spans="1:1">
      <c r="A133" s="16" t="s">
        <v>2207</v>
      </c>
    </row>
    <row r="134" spans="1:1">
      <c r="A134" s="16" t="s">
        <v>277</v>
      </c>
    </row>
    <row r="135" spans="1:1">
      <c r="A135" s="16" t="s">
        <v>2208</v>
      </c>
    </row>
    <row r="136" spans="1:1">
      <c r="A136" s="16" t="s">
        <v>2209</v>
      </c>
    </row>
    <row r="137" spans="1:1">
      <c r="A137" s="16" t="s">
        <v>1538</v>
      </c>
    </row>
    <row r="138" spans="1:1">
      <c r="A138" s="16" t="s">
        <v>282</v>
      </c>
    </row>
    <row r="139" spans="1:1">
      <c r="A139" s="16" t="s">
        <v>2210</v>
      </c>
    </row>
    <row r="140" spans="1:1">
      <c r="A140" s="16" t="s">
        <v>2211</v>
      </c>
    </row>
    <row r="141" spans="1:1">
      <c r="A141" s="16" t="s">
        <v>2212</v>
      </c>
    </row>
    <row r="142" spans="1:1">
      <c r="A142" s="16" t="s">
        <v>1541</v>
      </c>
    </row>
    <row r="143" spans="1:1">
      <c r="A143" s="16" t="s">
        <v>2213</v>
      </c>
    </row>
    <row r="144" spans="1:1">
      <c r="A144" s="16" t="s">
        <v>2214</v>
      </c>
    </row>
    <row r="145" spans="1:1">
      <c r="A145" s="16" t="s">
        <v>283</v>
      </c>
    </row>
    <row r="146" spans="1:1">
      <c r="A146" s="16" t="s">
        <v>2215</v>
      </c>
    </row>
    <row r="147" spans="1:1">
      <c r="A147" s="16" t="s">
        <v>2216</v>
      </c>
    </row>
    <row r="148" spans="1:1">
      <c r="A148" s="16" t="s">
        <v>2217</v>
      </c>
    </row>
    <row r="149" spans="1:1">
      <c r="A149" s="16" t="s">
        <v>2218</v>
      </c>
    </row>
    <row r="150" spans="1:1">
      <c r="A150" s="16" t="s">
        <v>899</v>
      </c>
    </row>
    <row r="151" spans="1:1">
      <c r="A151" s="16" t="s">
        <v>2219</v>
      </c>
    </row>
    <row r="152" spans="1:1">
      <c r="A152" s="16" t="s">
        <v>2220</v>
      </c>
    </row>
    <row r="153" spans="1:1">
      <c r="A153" s="16" t="s">
        <v>287</v>
      </c>
    </row>
    <row r="154" spans="1:1">
      <c r="A154" s="16" t="s">
        <v>2221</v>
      </c>
    </row>
    <row r="155" spans="1:1">
      <c r="A155" s="16" t="s">
        <v>2222</v>
      </c>
    </row>
    <row r="156" spans="1:1">
      <c r="A156" s="16" t="s">
        <v>290</v>
      </c>
    </row>
    <row r="157" spans="1:1">
      <c r="A157" s="16" t="s">
        <v>2223</v>
      </c>
    </row>
    <row r="158" spans="1:1">
      <c r="A158" s="16" t="s">
        <v>292</v>
      </c>
    </row>
    <row r="159" spans="1:1">
      <c r="A159" s="16" t="s">
        <v>2224</v>
      </c>
    </row>
    <row r="160" spans="1:1">
      <c r="A160" s="16" t="s">
        <v>2225</v>
      </c>
    </row>
    <row r="161" spans="1:1">
      <c r="A161" s="16" t="s">
        <v>2226</v>
      </c>
    </row>
    <row r="162" spans="1:1">
      <c r="A162" s="16" t="s">
        <v>2227</v>
      </c>
    </row>
    <row r="163" spans="1:1">
      <c r="A163" s="16" t="s">
        <v>296</v>
      </c>
    </row>
    <row r="164" spans="1:1">
      <c r="A164" s="16" t="s">
        <v>2228</v>
      </c>
    </row>
    <row r="165" spans="1:1">
      <c r="A165" s="16" t="s">
        <v>2229</v>
      </c>
    </row>
    <row r="166" spans="1:1">
      <c r="A166" s="16" t="s">
        <v>2230</v>
      </c>
    </row>
    <row r="167" spans="1:1">
      <c r="A167" s="16" t="s">
        <v>2231</v>
      </c>
    </row>
    <row r="168" spans="1:1">
      <c r="A168" s="16" t="s">
        <v>906</v>
      </c>
    </row>
    <row r="169" spans="1:1">
      <c r="A169" s="16" t="s">
        <v>2232</v>
      </c>
    </row>
    <row r="170" spans="1:1">
      <c r="A170" s="16" t="s">
        <v>300</v>
      </c>
    </row>
    <row r="171" spans="1:1">
      <c r="A171" s="16" t="s">
        <v>301</v>
      </c>
    </row>
    <row r="172" spans="1:1">
      <c r="A172" s="16" t="s">
        <v>302</v>
      </c>
    </row>
    <row r="173" spans="1:1">
      <c r="A173" s="16" t="s">
        <v>2233</v>
      </c>
    </row>
    <row r="174" spans="1:1">
      <c r="A174" s="16" t="s">
        <v>2234</v>
      </c>
    </row>
    <row r="175" spans="1:1">
      <c r="A175" s="16" t="s">
        <v>2235</v>
      </c>
    </row>
    <row r="176" spans="1:1">
      <c r="A176" s="16" t="s">
        <v>2236</v>
      </c>
    </row>
    <row r="177" spans="1:1">
      <c r="A177" s="16" t="s">
        <v>2237</v>
      </c>
    </row>
    <row r="178" spans="1:1">
      <c r="A178" s="16" t="s">
        <v>2238</v>
      </c>
    </row>
    <row r="179" spans="1:1">
      <c r="A179" s="16" t="s">
        <v>2239</v>
      </c>
    </row>
    <row r="180" spans="1:1">
      <c r="A180" s="16" t="s">
        <v>2240</v>
      </c>
    </row>
    <row r="181" spans="1:1">
      <c r="A181" s="16" t="s">
        <v>2241</v>
      </c>
    </row>
    <row r="182" spans="1:1">
      <c r="A182" s="16" t="s">
        <v>2242</v>
      </c>
    </row>
    <row r="183" spans="1:1">
      <c r="A183" s="16" t="s">
        <v>2243</v>
      </c>
    </row>
    <row r="184" spans="1:1">
      <c r="A184" s="16" t="s">
        <v>311</v>
      </c>
    </row>
    <row r="185" spans="1:1">
      <c r="A185" s="16" t="s">
        <v>2244</v>
      </c>
    </row>
    <row r="186" spans="1:1">
      <c r="A186" s="16" t="s">
        <v>2245</v>
      </c>
    </row>
    <row r="187" spans="1:1">
      <c r="A187" s="16" t="s">
        <v>2246</v>
      </c>
    </row>
    <row r="188" spans="1:1">
      <c r="A188" s="16" t="s">
        <v>1574</v>
      </c>
    </row>
    <row r="189" spans="1:1">
      <c r="A189" s="16" t="s">
        <v>320</v>
      </c>
    </row>
    <row r="190" spans="1:1">
      <c r="A190" s="16" t="s">
        <v>2247</v>
      </c>
    </row>
    <row r="191" spans="1:1">
      <c r="A191" s="16" t="s">
        <v>2248</v>
      </c>
    </row>
    <row r="192" spans="1:1">
      <c r="A192" s="16" t="s">
        <v>2249</v>
      </c>
    </row>
    <row r="193" spans="1:1">
      <c r="A193" s="16" t="s">
        <v>1576</v>
      </c>
    </row>
    <row r="194" spans="1:1">
      <c r="A194" s="16" t="s">
        <v>2250</v>
      </c>
    </row>
    <row r="195" spans="1:1">
      <c r="A195" s="16" t="s">
        <v>329</v>
      </c>
    </row>
    <row r="196" spans="1:1">
      <c r="A196" s="16" t="s">
        <v>2251</v>
      </c>
    </row>
    <row r="197" spans="1:1">
      <c r="A197" s="16" t="s">
        <v>2252</v>
      </c>
    </row>
    <row r="198" spans="1:1">
      <c r="A198" s="16" t="s">
        <v>2253</v>
      </c>
    </row>
    <row r="199" spans="1:1">
      <c r="A199" s="16" t="s">
        <v>2254</v>
      </c>
    </row>
    <row r="200" spans="1:1">
      <c r="A200" s="16" t="s">
        <v>332</v>
      </c>
    </row>
    <row r="201" spans="1:1">
      <c r="A201" s="16" t="s">
        <v>1580</v>
      </c>
    </row>
    <row r="202" spans="1:1">
      <c r="A202" s="16" t="s">
        <v>333</v>
      </c>
    </row>
    <row r="203" spans="1:1">
      <c r="A203" s="16" t="s">
        <v>2255</v>
      </c>
    </row>
    <row r="204" spans="1:1">
      <c r="A204" s="16" t="s">
        <v>336</v>
      </c>
    </row>
    <row r="205" spans="1:1">
      <c r="A205" s="16" t="s">
        <v>337</v>
      </c>
    </row>
    <row r="206" spans="1:1">
      <c r="A206" s="16" t="s">
        <v>2256</v>
      </c>
    </row>
    <row r="207" spans="1:1">
      <c r="A207" s="16" t="s">
        <v>2257</v>
      </c>
    </row>
    <row r="208" spans="1:1">
      <c r="A208" s="16" t="s">
        <v>916</v>
      </c>
    </row>
    <row r="209" spans="1:1">
      <c r="A209" s="16" t="s">
        <v>339</v>
      </c>
    </row>
    <row r="210" spans="1:1">
      <c r="A210" s="16" t="s">
        <v>2258</v>
      </c>
    </row>
    <row r="211" spans="1:1">
      <c r="A211" s="16" t="s">
        <v>2259</v>
      </c>
    </row>
    <row r="212" spans="1:1">
      <c r="A212" s="16" t="s">
        <v>2260</v>
      </c>
    </row>
    <row r="213" spans="1:1">
      <c r="A213" s="16" t="s">
        <v>2261</v>
      </c>
    </row>
    <row r="214" spans="1:1">
      <c r="A214" s="16" t="s">
        <v>918</v>
      </c>
    </row>
    <row r="215" spans="1:1">
      <c r="A215" s="16" t="s">
        <v>2262</v>
      </c>
    </row>
    <row r="216" spans="1:1">
      <c r="A216" s="16" t="s">
        <v>2263</v>
      </c>
    </row>
    <row r="217" spans="1:1">
      <c r="A217" s="16" t="s">
        <v>344</v>
      </c>
    </row>
    <row r="218" spans="1:1">
      <c r="A218" s="16" t="s">
        <v>2264</v>
      </c>
    </row>
    <row r="219" spans="1:1">
      <c r="A219" s="16" t="s">
        <v>2265</v>
      </c>
    </row>
    <row r="220" spans="1:1">
      <c r="A220" s="16" t="s">
        <v>2266</v>
      </c>
    </row>
    <row r="221" spans="1:1">
      <c r="A221" s="16" t="s">
        <v>2267</v>
      </c>
    </row>
    <row r="222" spans="1:1">
      <c r="A222" s="16" t="s">
        <v>371</v>
      </c>
    </row>
    <row r="223" spans="1:1">
      <c r="A223" s="16" t="s">
        <v>2268</v>
      </c>
    </row>
    <row r="224" spans="1:1">
      <c r="A224" s="16" t="s">
        <v>2269</v>
      </c>
    </row>
    <row r="225" spans="1:1">
      <c r="A225" s="16" t="s">
        <v>2270</v>
      </c>
    </row>
    <row r="226" spans="1:1">
      <c r="A226" s="16" t="s">
        <v>356</v>
      </c>
    </row>
    <row r="227" spans="1:1">
      <c r="A227" s="16" t="s">
        <v>357</v>
      </c>
    </row>
    <row r="228" spans="1:1">
      <c r="A228" s="16" t="s">
        <v>2271</v>
      </c>
    </row>
    <row r="229" spans="1:1">
      <c r="A229" s="16" t="s">
        <v>359</v>
      </c>
    </row>
    <row r="230" spans="1:1">
      <c r="A230" s="16" t="s">
        <v>2272</v>
      </c>
    </row>
    <row r="231" spans="1:1">
      <c r="A231" s="16" t="s">
        <v>2273</v>
      </c>
    </row>
    <row r="232" spans="1:1">
      <c r="A232" s="16" t="s">
        <v>2274</v>
      </c>
    </row>
    <row r="233" spans="1:1">
      <c r="A233" s="16" t="s">
        <v>361</v>
      </c>
    </row>
    <row r="234" spans="1:1">
      <c r="A234" s="16" t="s">
        <v>2275</v>
      </c>
    </row>
    <row r="235" spans="1:1">
      <c r="A235" s="16" t="s">
        <v>2276</v>
      </c>
    </row>
    <row r="236" spans="1:1">
      <c r="A236" s="16" t="s">
        <v>2277</v>
      </c>
    </row>
    <row r="237" spans="1:1">
      <c r="A237" s="16" t="s">
        <v>2278</v>
      </c>
    </row>
    <row r="238" spans="1:1">
      <c r="A238" s="16" t="s">
        <v>2279</v>
      </c>
    </row>
    <row r="239" spans="1:1">
      <c r="A239" s="16" t="s">
        <v>364</v>
      </c>
    </row>
    <row r="240" spans="1:1">
      <c r="A240" s="16" t="s">
        <v>2280</v>
      </c>
    </row>
    <row r="241" spans="1:1">
      <c r="A241" s="16" t="s">
        <v>365</v>
      </c>
    </row>
    <row r="242" spans="1:1">
      <c r="A242" s="16" t="s">
        <v>366</v>
      </c>
    </row>
    <row r="243" spans="1:1">
      <c r="A243" s="16" t="s">
        <v>2281</v>
      </c>
    </row>
    <row r="244" spans="1:1">
      <c r="A244" s="16" t="s">
        <v>933</v>
      </c>
    </row>
    <row r="245" spans="1:1">
      <c r="A245" s="16" t="s">
        <v>373</v>
      </c>
    </row>
    <row r="246" spans="1:1">
      <c r="A246" s="16" t="s">
        <v>2282</v>
      </c>
    </row>
    <row r="247" spans="1:1">
      <c r="A247" s="16" t="s">
        <v>2283</v>
      </c>
    </row>
    <row r="248" spans="1:1">
      <c r="A248" s="16" t="s">
        <v>2284</v>
      </c>
    </row>
    <row r="249" spans="1:1">
      <c r="A249" s="16" t="s">
        <v>1611</v>
      </c>
    </row>
    <row r="250" spans="1:1">
      <c r="A250" s="16" t="s">
        <v>2285</v>
      </c>
    </row>
    <row r="251" spans="1:1">
      <c r="A251" s="16" t="s">
        <v>2286</v>
      </c>
    </row>
    <row r="252" spans="1:1">
      <c r="A252" s="16" t="s">
        <v>2287</v>
      </c>
    </row>
    <row r="253" spans="1:1">
      <c r="A253" s="16" t="s">
        <v>2288</v>
      </c>
    </row>
    <row r="254" spans="1:1">
      <c r="A254" s="16" t="s">
        <v>934</v>
      </c>
    </row>
    <row r="255" spans="1:1">
      <c r="A255" s="16" t="s">
        <v>2289</v>
      </c>
    </row>
    <row r="256" spans="1:1">
      <c r="A256" s="16" t="s">
        <v>2290</v>
      </c>
    </row>
    <row r="257" spans="1:1">
      <c r="A257" s="16" t="s">
        <v>384</v>
      </c>
    </row>
    <row r="258" spans="1:1">
      <c r="A258" s="16" t="s">
        <v>2291</v>
      </c>
    </row>
    <row r="259" spans="1:1">
      <c r="A259" s="16" t="s">
        <v>386</v>
      </c>
    </row>
    <row r="260" spans="1:1">
      <c r="A260" s="16" t="s">
        <v>2292</v>
      </c>
    </row>
    <row r="261" spans="1:1">
      <c r="A261" s="16" t="s">
        <v>2293</v>
      </c>
    </row>
    <row r="262" spans="1:1">
      <c r="A262" s="16" t="s">
        <v>387</v>
      </c>
    </row>
    <row r="263" spans="1:1">
      <c r="A263" s="16" t="s">
        <v>2294</v>
      </c>
    </row>
    <row r="264" spans="1:1">
      <c r="A264" s="16" t="s">
        <v>2295</v>
      </c>
    </row>
    <row r="265" spans="1:1">
      <c r="A265" s="16" t="s">
        <v>1622</v>
      </c>
    </row>
    <row r="266" spans="1:1">
      <c r="A266" s="16" t="s">
        <v>2296</v>
      </c>
    </row>
    <row r="267" spans="1:1">
      <c r="A267" s="16" t="s">
        <v>2297</v>
      </c>
    </row>
    <row r="268" spans="1:1">
      <c r="A268" s="16" t="s">
        <v>396</v>
      </c>
    </row>
    <row r="269" spans="1:1">
      <c r="A269" s="16" t="s">
        <v>1625</v>
      </c>
    </row>
    <row r="270" spans="1:1">
      <c r="A270" s="16" t="s">
        <v>2298</v>
      </c>
    </row>
    <row r="271" spans="1:1">
      <c r="A271" s="16" t="s">
        <v>2299</v>
      </c>
    </row>
    <row r="272" spans="1:1">
      <c r="A272" s="16" t="s">
        <v>1628</v>
      </c>
    </row>
    <row r="273" spans="1:1">
      <c r="A273" s="16" t="s">
        <v>402</v>
      </c>
    </row>
    <row r="274" spans="1:1">
      <c r="A274" s="16" t="s">
        <v>2300</v>
      </c>
    </row>
    <row r="275" spans="1:1">
      <c r="A275" s="16" t="s">
        <v>404</v>
      </c>
    </row>
    <row r="276" spans="1:1">
      <c r="A276" s="16" t="s">
        <v>2301</v>
      </c>
    </row>
    <row r="277" spans="1:1">
      <c r="A277" s="16" t="s">
        <v>956</v>
      </c>
    </row>
    <row r="278" spans="1:1">
      <c r="A278" s="16" t="s">
        <v>2302</v>
      </c>
    </row>
    <row r="279" spans="1:1">
      <c r="A279" s="16" t="s">
        <v>2303</v>
      </c>
    </row>
    <row r="280" spans="1:1">
      <c r="A280" s="16" t="s">
        <v>2304</v>
      </c>
    </row>
    <row r="281" spans="1:1">
      <c r="A281" s="16" t="s">
        <v>2305</v>
      </c>
    </row>
    <row r="282" spans="1:1">
      <c r="A282" s="16" t="s">
        <v>2306</v>
      </c>
    </row>
    <row r="283" spans="1:1">
      <c r="A283" s="16" t="s">
        <v>2307</v>
      </c>
    </row>
    <row r="284" spans="1:1">
      <c r="A284" s="16" t="s">
        <v>2308</v>
      </c>
    </row>
    <row r="285" spans="1:1">
      <c r="A285" s="16" t="s">
        <v>2309</v>
      </c>
    </row>
    <row r="286" spans="1:1">
      <c r="A286" s="16" t="s">
        <v>2310</v>
      </c>
    </row>
    <row r="287" spans="1:1">
      <c r="A287" s="16" t="s">
        <v>949</v>
      </c>
    </row>
    <row r="288" spans="1:1">
      <c r="A288" s="16" t="s">
        <v>2311</v>
      </c>
    </row>
    <row r="289" spans="1:1">
      <c r="A289" s="16" t="s">
        <v>410</v>
      </c>
    </row>
    <row r="290" spans="1:1">
      <c r="A290" s="16" t="s">
        <v>411</v>
      </c>
    </row>
    <row r="291" spans="1:1">
      <c r="A291" s="16" t="s">
        <v>2312</v>
      </c>
    </row>
    <row r="292" spans="1:1">
      <c r="A292" s="16" t="s">
        <v>2313</v>
      </c>
    </row>
    <row r="293" spans="1:1">
      <c r="A293" s="16" t="s">
        <v>2314</v>
      </c>
    </row>
    <row r="294" spans="1:1">
      <c r="A294" s="16" t="s">
        <v>2315</v>
      </c>
    </row>
    <row r="295" spans="1:1">
      <c r="A295" s="16" t="s">
        <v>1636</v>
      </c>
    </row>
    <row r="296" spans="1:1">
      <c r="A296" s="16" t="s">
        <v>2316</v>
      </c>
    </row>
    <row r="297" spans="1:1">
      <c r="A297" s="16" t="s">
        <v>2317</v>
      </c>
    </row>
    <row r="298" spans="1:1">
      <c r="A298" s="16" t="s">
        <v>2318</v>
      </c>
    </row>
    <row r="299" spans="1:1">
      <c r="A299" s="16" t="s">
        <v>2319</v>
      </c>
    </row>
    <row r="300" spans="1:1">
      <c r="A300" s="16" t="s">
        <v>2320</v>
      </c>
    </row>
    <row r="301" spans="1:1">
      <c r="A301" s="16" t="s">
        <v>2321</v>
      </c>
    </row>
    <row r="302" spans="1:1">
      <c r="A302" s="16" t="s">
        <v>2322</v>
      </c>
    </row>
    <row r="303" spans="1:1">
      <c r="A303" s="16" t="s">
        <v>2323</v>
      </c>
    </row>
    <row r="304" spans="1:1">
      <c r="A304" s="16" t="s">
        <v>2324</v>
      </c>
    </row>
    <row r="305" spans="1:1">
      <c r="A305" s="16" t="s">
        <v>418</v>
      </c>
    </row>
    <row r="306" spans="1:1">
      <c r="A306" s="16" t="s">
        <v>419</v>
      </c>
    </row>
    <row r="307" spans="1:1">
      <c r="A307" s="16" t="s">
        <v>2325</v>
      </c>
    </row>
    <row r="308" spans="1:1">
      <c r="A308" s="16" t="s">
        <v>957</v>
      </c>
    </row>
    <row r="309" spans="1:1">
      <c r="A309" s="16" t="s">
        <v>2326</v>
      </c>
    </row>
    <row r="310" spans="1:1">
      <c r="A310" s="16" t="s">
        <v>422</v>
      </c>
    </row>
    <row r="311" spans="1:1">
      <c r="A311" s="16" t="s">
        <v>2327</v>
      </c>
    </row>
    <row r="312" spans="1:1">
      <c r="A312" s="16" t="s">
        <v>425</v>
      </c>
    </row>
    <row r="313" spans="1:1">
      <c r="A313" s="16" t="s">
        <v>426</v>
      </c>
    </row>
    <row r="314" spans="1:1">
      <c r="A314" s="16" t="s">
        <v>2328</v>
      </c>
    </row>
    <row r="315" spans="1:1">
      <c r="A315" s="16" t="s">
        <v>2329</v>
      </c>
    </row>
    <row r="316" spans="1:1">
      <c r="A316" s="16" t="s">
        <v>2330</v>
      </c>
    </row>
    <row r="317" spans="1:1">
      <c r="A317" s="16" t="s">
        <v>2331</v>
      </c>
    </row>
    <row r="318" spans="1:1">
      <c r="A318" s="16" t="s">
        <v>2332</v>
      </c>
    </row>
    <row r="319" spans="1:1">
      <c r="A319" s="16" t="s">
        <v>432</v>
      </c>
    </row>
    <row r="320" spans="1:1">
      <c r="A320" s="16" t="s">
        <v>434</v>
      </c>
    </row>
    <row r="321" spans="1:1">
      <c r="A321" s="16" t="s">
        <v>435</v>
      </c>
    </row>
    <row r="322" spans="1:1">
      <c r="A322" s="16" t="s">
        <v>961</v>
      </c>
    </row>
    <row r="323" spans="1:1">
      <c r="A323" s="16" t="s">
        <v>2333</v>
      </c>
    </row>
    <row r="324" spans="1:1">
      <c r="A324" s="16" t="s">
        <v>2334</v>
      </c>
    </row>
    <row r="325" spans="1:1">
      <c r="A325" s="16" t="s">
        <v>2335</v>
      </c>
    </row>
    <row r="326" spans="1:1">
      <c r="A326" s="16" t="s">
        <v>2336</v>
      </c>
    </row>
    <row r="327" spans="1:1">
      <c r="A327" s="16" t="s">
        <v>2337</v>
      </c>
    </row>
    <row r="328" spans="1:1">
      <c r="A328" s="16" t="s">
        <v>2338</v>
      </c>
    </row>
    <row r="329" spans="1:1">
      <c r="A329" s="16" t="s">
        <v>440</v>
      </c>
    </row>
    <row r="330" spans="1:1">
      <c r="A330" s="16" t="s">
        <v>2339</v>
      </c>
    </row>
    <row r="331" spans="1:1">
      <c r="A331" s="16" t="s">
        <v>2340</v>
      </c>
    </row>
    <row r="332" spans="1:1">
      <c r="A332" s="16" t="s">
        <v>444</v>
      </c>
    </row>
    <row r="333" spans="1:1">
      <c r="A333" s="16" t="s">
        <v>445</v>
      </c>
    </row>
    <row r="334" spans="1:1">
      <c r="A334" s="16" t="s">
        <v>2341</v>
      </c>
    </row>
    <row r="335" spans="1:1">
      <c r="A335" s="16" t="s">
        <v>2342</v>
      </c>
    </row>
    <row r="336" spans="1:1">
      <c r="A336" s="16" t="s">
        <v>2343</v>
      </c>
    </row>
    <row r="337" spans="1:1">
      <c r="A337" s="16" t="s">
        <v>446</v>
      </c>
    </row>
    <row r="338" spans="1:1">
      <c r="A338" s="16" t="s">
        <v>447</v>
      </c>
    </row>
    <row r="339" spans="1:1">
      <c r="A339" s="16" t="s">
        <v>448</v>
      </c>
    </row>
    <row r="340" spans="1:1">
      <c r="A340" s="16" t="s">
        <v>2344</v>
      </c>
    </row>
    <row r="341" spans="1:1">
      <c r="A341" s="16" t="s">
        <v>966</v>
      </c>
    </row>
    <row r="342" spans="1:1">
      <c r="A342" s="16" t="s">
        <v>2345</v>
      </c>
    </row>
    <row r="343" spans="1:1">
      <c r="A343" s="16" t="s">
        <v>968</v>
      </c>
    </row>
    <row r="344" spans="1:1">
      <c r="A344" s="16" t="s">
        <v>2346</v>
      </c>
    </row>
    <row r="345" spans="1:1">
      <c r="A345" s="16" t="s">
        <v>2347</v>
      </c>
    </row>
    <row r="346" spans="1:1">
      <c r="A346" s="16" t="s">
        <v>2348</v>
      </c>
    </row>
    <row r="347" spans="1:1">
      <c r="A347" s="16" t="s">
        <v>2349</v>
      </c>
    </row>
    <row r="348" spans="1:1">
      <c r="A348" s="16" t="s">
        <v>455</v>
      </c>
    </row>
    <row r="349" spans="1:1">
      <c r="A349" s="16" t="s">
        <v>2350</v>
      </c>
    </row>
    <row r="350" spans="1:1">
      <c r="A350" s="16" t="s">
        <v>2351</v>
      </c>
    </row>
    <row r="351" spans="1:1">
      <c r="A351" s="16" t="s">
        <v>2352</v>
      </c>
    </row>
    <row r="352" spans="1:1">
      <c r="A352" s="16" t="s">
        <v>2353</v>
      </c>
    </row>
    <row r="353" spans="1:1">
      <c r="A353" s="16" t="s">
        <v>2354</v>
      </c>
    </row>
    <row r="354" spans="1:1">
      <c r="A354" s="16" t="s">
        <v>971</v>
      </c>
    </row>
    <row r="355" spans="1:1">
      <c r="A355" s="16" t="s">
        <v>2355</v>
      </c>
    </row>
    <row r="356" spans="1:1">
      <c r="A356" s="16" t="s">
        <v>460</v>
      </c>
    </row>
    <row r="357" spans="1:1">
      <c r="A357" s="16" t="s">
        <v>2356</v>
      </c>
    </row>
    <row r="358" spans="1:1">
      <c r="A358" s="16" t="s">
        <v>2357</v>
      </c>
    </row>
    <row r="359" spans="1:1">
      <c r="A359" s="16" t="s">
        <v>2358</v>
      </c>
    </row>
    <row r="360" spans="1:1">
      <c r="A360" s="16" t="s">
        <v>2359</v>
      </c>
    </row>
    <row r="361" spans="1:1">
      <c r="A361" s="16" t="s">
        <v>2360</v>
      </c>
    </row>
    <row r="362" spans="1:1">
      <c r="A362" s="16" t="s">
        <v>2361</v>
      </c>
    </row>
    <row r="363" spans="1:1">
      <c r="A363" s="16" t="s">
        <v>1669</v>
      </c>
    </row>
    <row r="364" spans="1:1">
      <c r="A364" s="16" t="s">
        <v>466</v>
      </c>
    </row>
    <row r="365" spans="1:1">
      <c r="A365" s="16" t="s">
        <v>2362</v>
      </c>
    </row>
    <row r="366" spans="1:1">
      <c r="A366" s="16" t="s">
        <v>2363</v>
      </c>
    </row>
    <row r="367" spans="1:1">
      <c r="A367" s="16" t="s">
        <v>2364</v>
      </c>
    </row>
    <row r="368" spans="1:1">
      <c r="A368" s="16" t="s">
        <v>473</v>
      </c>
    </row>
    <row r="369" spans="1:1">
      <c r="A369" s="16" t="s">
        <v>2365</v>
      </c>
    </row>
    <row r="370" spans="1:1">
      <c r="A370" s="16" t="s">
        <v>2366</v>
      </c>
    </row>
    <row r="371" spans="1:1">
      <c r="A371" s="16" t="s">
        <v>2367</v>
      </c>
    </row>
    <row r="372" spans="1:1">
      <c r="A372" s="16" t="s">
        <v>976</v>
      </c>
    </row>
    <row r="373" spans="1:1">
      <c r="A373" s="16" t="s">
        <v>481</v>
      </c>
    </row>
    <row r="374" spans="1:1">
      <c r="A374" s="16" t="s">
        <v>2368</v>
      </c>
    </row>
    <row r="375" spans="1:1">
      <c r="A375" s="16" t="s">
        <v>1682</v>
      </c>
    </row>
    <row r="376" spans="1:1">
      <c r="A376" s="16" t="s">
        <v>2369</v>
      </c>
    </row>
    <row r="377" spans="1:1">
      <c r="A377" s="16" t="s">
        <v>2370</v>
      </c>
    </row>
    <row r="378" spans="1:1">
      <c r="A378" s="16" t="s">
        <v>2371</v>
      </c>
    </row>
    <row r="379" spans="1:1">
      <c r="A379" s="16" t="s">
        <v>512</v>
      </c>
    </row>
    <row r="380" spans="1:1">
      <c r="A380" s="16" t="s">
        <v>2372</v>
      </c>
    </row>
    <row r="381" spans="1:1">
      <c r="A381" s="16" t="s">
        <v>2373</v>
      </c>
    </row>
    <row r="382" spans="1:1">
      <c r="A382" s="16" t="s">
        <v>980</v>
      </c>
    </row>
    <row r="383" spans="1:1">
      <c r="A383" s="16" t="s">
        <v>2374</v>
      </c>
    </row>
    <row r="384" spans="1:1">
      <c r="A384" s="16" t="s">
        <v>2375</v>
      </c>
    </row>
    <row r="385" spans="1:1">
      <c r="A385" s="16" t="s">
        <v>2376</v>
      </c>
    </row>
    <row r="386" spans="1:1">
      <c r="A386" s="16" t="s">
        <v>2377</v>
      </c>
    </row>
    <row r="387" spans="1:1">
      <c r="A387" s="16" t="s">
        <v>2378</v>
      </c>
    </row>
    <row r="388" spans="1:1">
      <c r="A388" s="16" t="s">
        <v>2379</v>
      </c>
    </row>
    <row r="389" spans="1:1">
      <c r="A389" s="16" t="s">
        <v>2380</v>
      </c>
    </row>
    <row r="390" spans="1:1">
      <c r="A390" s="16" t="s">
        <v>2381</v>
      </c>
    </row>
    <row r="391" spans="1:1">
      <c r="A391" s="16" t="s">
        <v>2382</v>
      </c>
    </row>
    <row r="392" spans="1:1">
      <c r="A392" s="16" t="s">
        <v>983</v>
      </c>
    </row>
    <row r="393" spans="1:1">
      <c r="A393" s="16" t="s">
        <v>498</v>
      </c>
    </row>
    <row r="394" spans="1:1">
      <c r="A394" s="16" t="s">
        <v>500</v>
      </c>
    </row>
    <row r="395" spans="1:1">
      <c r="A395" s="16" t="s">
        <v>2383</v>
      </c>
    </row>
    <row r="396" spans="1:1">
      <c r="A396" s="16" t="s">
        <v>2384</v>
      </c>
    </row>
    <row r="397" spans="1:1">
      <c r="A397" s="16" t="s">
        <v>2385</v>
      </c>
    </row>
    <row r="398" spans="1:1">
      <c r="A398" s="16" t="s">
        <v>2386</v>
      </c>
    </row>
    <row r="399" spans="1:1">
      <c r="A399" s="16" t="s">
        <v>2387</v>
      </c>
    </row>
    <row r="400" spans="1:1">
      <c r="A400" s="16" t="s">
        <v>505</v>
      </c>
    </row>
    <row r="401" spans="1:1">
      <c r="A401" s="16" t="s">
        <v>2388</v>
      </c>
    </row>
    <row r="402" spans="1:1">
      <c r="A402" s="16" t="s">
        <v>2389</v>
      </c>
    </row>
    <row r="403" spans="1:1">
      <c r="A403" s="16" t="s">
        <v>2390</v>
      </c>
    </row>
    <row r="404" spans="1:1">
      <c r="A404" s="16" t="s">
        <v>2391</v>
      </c>
    </row>
    <row r="405" spans="1:1">
      <c r="A405" s="16" t="s">
        <v>2392</v>
      </c>
    </row>
    <row r="406" spans="1:1">
      <c r="A406" s="16" t="s">
        <v>2393</v>
      </c>
    </row>
    <row r="407" spans="1:1">
      <c r="A407" s="16" t="s">
        <v>2394</v>
      </c>
    </row>
    <row r="408" spans="1:1">
      <c r="A408" s="16" t="s">
        <v>507</v>
      </c>
    </row>
    <row r="409" spans="1:1">
      <c r="A409" s="16" t="s">
        <v>2395</v>
      </c>
    </row>
    <row r="410" spans="1:1">
      <c r="A410" s="16" t="s">
        <v>2396</v>
      </c>
    </row>
    <row r="411" spans="1:1">
      <c r="A411" s="16" t="s">
        <v>1699</v>
      </c>
    </row>
    <row r="412" spans="1:1">
      <c r="A412" s="16" t="s">
        <v>2397</v>
      </c>
    </row>
    <row r="413" spans="1:1">
      <c r="A413" s="16" t="s">
        <v>2398</v>
      </c>
    </row>
    <row r="414" spans="1:1">
      <c r="A414" s="16" t="s">
        <v>2399</v>
      </c>
    </row>
    <row r="415" spans="1:1">
      <c r="A415" s="16" t="s">
        <v>2400</v>
      </c>
    </row>
    <row r="416" spans="1:1">
      <c r="A416" s="16" t="s">
        <v>1706</v>
      </c>
    </row>
    <row r="417" spans="1:1">
      <c r="A417" s="16" t="s">
        <v>514</v>
      </c>
    </row>
    <row r="418" spans="1:1">
      <c r="A418" s="16" t="s">
        <v>2401</v>
      </c>
    </row>
    <row r="419" spans="1:1">
      <c r="A419" s="16" t="s">
        <v>2402</v>
      </c>
    </row>
    <row r="420" spans="1:1">
      <c r="A420" s="16" t="s">
        <v>2403</v>
      </c>
    </row>
    <row r="421" spans="1:1">
      <c r="A421" s="16" t="s">
        <v>518</v>
      </c>
    </row>
    <row r="422" spans="1:1">
      <c r="A422" s="16" t="s">
        <v>519</v>
      </c>
    </row>
    <row r="423" spans="1:1">
      <c r="A423" s="16" t="s">
        <v>2404</v>
      </c>
    </row>
    <row r="424" spans="1:1">
      <c r="A424" s="16" t="s">
        <v>2405</v>
      </c>
    </row>
    <row r="425" spans="1:1">
      <c r="A425" s="16" t="s">
        <v>2406</v>
      </c>
    </row>
    <row r="426" spans="1:1">
      <c r="A426" s="16" t="s">
        <v>2407</v>
      </c>
    </row>
    <row r="427" spans="1:1">
      <c r="A427" s="16" t="s">
        <v>2408</v>
      </c>
    </row>
    <row r="428" spans="1:1">
      <c r="A428" s="16" t="s">
        <v>2409</v>
      </c>
    </row>
    <row r="429" spans="1:1">
      <c r="A429" s="16" t="s">
        <v>995</v>
      </c>
    </row>
    <row r="430" spans="1:1">
      <c r="A430" s="16" t="s">
        <v>2410</v>
      </c>
    </row>
    <row r="431" spans="1:1">
      <c r="A431" s="16" t="s">
        <v>2411</v>
      </c>
    </row>
    <row r="432" spans="1:1">
      <c r="A432" s="16" t="s">
        <v>2412</v>
      </c>
    </row>
    <row r="433" spans="1:1">
      <c r="A433" s="16" t="s">
        <v>2413</v>
      </c>
    </row>
    <row r="434" spans="1:1">
      <c r="A434" s="16" t="s">
        <v>2414</v>
      </c>
    </row>
    <row r="435" spans="1:1">
      <c r="A435" s="16" t="s">
        <v>1720</v>
      </c>
    </row>
    <row r="436" spans="1:1">
      <c r="A436" s="16" t="s">
        <v>2415</v>
      </c>
    </row>
    <row r="437" spans="1:1">
      <c r="A437" s="16" t="s">
        <v>996</v>
      </c>
    </row>
    <row r="438" spans="1:1">
      <c r="A438" s="16" t="s">
        <v>997</v>
      </c>
    </row>
    <row r="439" spans="1:1">
      <c r="A439" s="16" t="s">
        <v>2416</v>
      </c>
    </row>
    <row r="440" spans="1:1">
      <c r="A440" s="16" t="s">
        <v>2417</v>
      </c>
    </row>
    <row r="441" spans="1:1">
      <c r="A441" s="16" t="s">
        <v>2418</v>
      </c>
    </row>
    <row r="442" spans="1:1">
      <c r="A442" s="16" t="s">
        <v>2419</v>
      </c>
    </row>
    <row r="443" spans="1:1">
      <c r="A443" s="16" t="s">
        <v>2420</v>
      </c>
    </row>
    <row r="444" spans="1:1">
      <c r="A444" s="16" t="s">
        <v>2421</v>
      </c>
    </row>
    <row r="445" spans="1:1">
      <c r="A445" s="16" t="s">
        <v>1723</v>
      </c>
    </row>
    <row r="446" spans="1:1">
      <c r="A446" s="16" t="s">
        <v>526</v>
      </c>
    </row>
    <row r="447" spans="1:1">
      <c r="A447" s="16" t="s">
        <v>527</v>
      </c>
    </row>
    <row r="448" spans="1:1">
      <c r="A448" s="16" t="s">
        <v>2422</v>
      </c>
    </row>
    <row r="449" spans="1:1">
      <c r="A449" s="16" t="s">
        <v>2423</v>
      </c>
    </row>
    <row r="450" spans="1:1">
      <c r="A450" s="16" t="s">
        <v>529</v>
      </c>
    </row>
    <row r="451" spans="1:1">
      <c r="A451" s="16" t="s">
        <v>2424</v>
      </c>
    </row>
    <row r="452" spans="1:1">
      <c r="A452" s="16" t="s">
        <v>2425</v>
      </c>
    </row>
    <row r="453" spans="1:1">
      <c r="A453" s="16" t="s">
        <v>2426</v>
      </c>
    </row>
    <row r="454" spans="1:1">
      <c r="A454" s="16" t="s">
        <v>2427</v>
      </c>
    </row>
    <row r="455" spans="1:1">
      <c r="A455" s="16" t="s">
        <v>2428</v>
      </c>
    </row>
    <row r="456" spans="1:1">
      <c r="A456" s="16" t="s">
        <v>534</v>
      </c>
    </row>
    <row r="457" spans="1:1">
      <c r="A457" s="16" t="s">
        <v>2429</v>
      </c>
    </row>
    <row r="458" spans="1:1">
      <c r="A458" s="16" t="s">
        <v>1007</v>
      </c>
    </row>
    <row r="459" spans="1:1">
      <c r="A459" s="16" t="s">
        <v>2430</v>
      </c>
    </row>
    <row r="460" spans="1:1">
      <c r="A460" s="16" t="s">
        <v>2431</v>
      </c>
    </row>
    <row r="461" spans="1:1">
      <c r="A461" s="16" t="s">
        <v>535</v>
      </c>
    </row>
    <row r="462" spans="1:1">
      <c r="A462" s="16" t="s">
        <v>2432</v>
      </c>
    </row>
    <row r="463" spans="1:1">
      <c r="A463" s="16" t="s">
        <v>2433</v>
      </c>
    </row>
    <row r="464" spans="1:1">
      <c r="A464" s="16" t="s">
        <v>536</v>
      </c>
    </row>
    <row r="465" spans="1:1">
      <c r="A465" s="16" t="s">
        <v>2434</v>
      </c>
    </row>
    <row r="466" spans="1:1">
      <c r="A466" s="16" t="s">
        <v>2435</v>
      </c>
    </row>
    <row r="467" spans="1:1">
      <c r="A467" s="16" t="s">
        <v>2436</v>
      </c>
    </row>
    <row r="468" spans="1:1">
      <c r="A468" s="16" t="s">
        <v>1735</v>
      </c>
    </row>
    <row r="469" spans="1:1">
      <c r="A469" s="16" t="s">
        <v>2437</v>
      </c>
    </row>
    <row r="470" spans="1:1">
      <c r="A470" s="16" t="s">
        <v>2438</v>
      </c>
    </row>
    <row r="471" spans="1:1">
      <c r="A471" s="16" t="s">
        <v>2439</v>
      </c>
    </row>
    <row r="472" spans="1:1">
      <c r="A472" s="16" t="s">
        <v>2440</v>
      </c>
    </row>
    <row r="473" spans="1:1">
      <c r="A473" s="16" t="s">
        <v>1014</v>
      </c>
    </row>
    <row r="474" spans="1:1">
      <c r="A474" s="16" t="s">
        <v>2441</v>
      </c>
    </row>
    <row r="475" spans="1:1">
      <c r="A475" s="16" t="s">
        <v>2442</v>
      </c>
    </row>
    <row r="476" spans="1:1">
      <c r="A476" s="16" t="s">
        <v>2443</v>
      </c>
    </row>
    <row r="477" spans="1:1">
      <c r="A477" s="16" t="s">
        <v>2444</v>
      </c>
    </row>
    <row r="478" spans="1:1">
      <c r="A478" s="16" t="s">
        <v>540</v>
      </c>
    </row>
    <row r="479" spans="1:1">
      <c r="A479" s="16" t="s">
        <v>541</v>
      </c>
    </row>
    <row r="480" spans="1:1">
      <c r="A480" s="16" t="s">
        <v>1015</v>
      </c>
    </row>
    <row r="481" spans="1:1">
      <c r="A481" s="16" t="s">
        <v>2445</v>
      </c>
    </row>
    <row r="482" spans="1:1">
      <c r="A482" s="16" t="s">
        <v>2446</v>
      </c>
    </row>
    <row r="483" spans="1:1">
      <c r="A483" s="16" t="s">
        <v>2447</v>
      </c>
    </row>
    <row r="484" spans="1:1">
      <c r="A484" s="16" t="s">
        <v>1016</v>
      </c>
    </row>
    <row r="485" spans="1:1">
      <c r="A485" s="16" t="s">
        <v>2448</v>
      </c>
    </row>
    <row r="486" spans="1:1">
      <c r="A486" s="16" t="s">
        <v>2449</v>
      </c>
    </row>
    <row r="487" spans="1:1">
      <c r="A487" s="16" t="s">
        <v>2450</v>
      </c>
    </row>
    <row r="488" spans="1:1">
      <c r="A488" s="16" t="s">
        <v>2451</v>
      </c>
    </row>
    <row r="489" spans="1:1">
      <c r="A489" s="16" t="s">
        <v>2452</v>
      </c>
    </row>
    <row r="490" spans="1:1">
      <c r="A490" s="16" t="s">
        <v>2453</v>
      </c>
    </row>
    <row r="491" spans="1:1">
      <c r="A491" s="16" t="s">
        <v>2454</v>
      </c>
    </row>
    <row r="492" spans="1:1">
      <c r="A492" s="16" t="s">
        <v>2455</v>
      </c>
    </row>
    <row r="493" spans="1:1">
      <c r="A493" s="16" t="s">
        <v>2456</v>
      </c>
    </row>
    <row r="494" spans="1:1">
      <c r="A494" s="16" t="s">
        <v>2457</v>
      </c>
    </row>
    <row r="495" spans="1:1">
      <c r="A495" s="16" t="s">
        <v>2458</v>
      </c>
    </row>
    <row r="496" spans="1:1">
      <c r="A496" s="16" t="s">
        <v>2459</v>
      </c>
    </row>
    <row r="497" spans="1:1">
      <c r="A497" s="16" t="s">
        <v>558</v>
      </c>
    </row>
    <row r="498" spans="1:1">
      <c r="A498" s="16" t="s">
        <v>2460</v>
      </c>
    </row>
    <row r="499" spans="1:1">
      <c r="A499" s="16" t="s">
        <v>2461</v>
      </c>
    </row>
    <row r="500" spans="1:1">
      <c r="A500" s="16" t="s">
        <v>2462</v>
      </c>
    </row>
    <row r="501" spans="1:1">
      <c r="A501" s="16" t="s">
        <v>2463</v>
      </c>
    </row>
    <row r="502" spans="1:1">
      <c r="A502" s="16" t="s">
        <v>1750</v>
      </c>
    </row>
    <row r="503" spans="1:1">
      <c r="A503" s="16" t="s">
        <v>2464</v>
      </c>
    </row>
    <row r="504" spans="1:1">
      <c r="A504" s="16" t="s">
        <v>2465</v>
      </c>
    </row>
    <row r="505" spans="1:1">
      <c r="A505" s="16" t="s">
        <v>2466</v>
      </c>
    </row>
    <row r="506" spans="1:1">
      <c r="A506" s="16" t="s">
        <v>1752</v>
      </c>
    </row>
    <row r="507" spans="1:1">
      <c r="A507" s="16" t="s">
        <v>2467</v>
      </c>
    </row>
    <row r="508" spans="1:1">
      <c r="A508" s="16" t="s">
        <v>846</v>
      </c>
    </row>
    <row r="509" spans="1:1">
      <c r="A509" s="16" t="s">
        <v>566</v>
      </c>
    </row>
    <row r="510" spans="1:1">
      <c r="A510" s="16" t="s">
        <v>1023</v>
      </c>
    </row>
    <row r="511" spans="1:1">
      <c r="A511" s="16" t="s">
        <v>2468</v>
      </c>
    </row>
    <row r="512" spans="1:1">
      <c r="A512" s="16" t="s">
        <v>2469</v>
      </c>
    </row>
    <row r="513" spans="1:1">
      <c r="A513" s="16" t="s">
        <v>2470</v>
      </c>
    </row>
    <row r="514" spans="1:1">
      <c r="A514" s="16" t="s">
        <v>2471</v>
      </c>
    </row>
    <row r="515" spans="1:1">
      <c r="A515" s="16" t="s">
        <v>571</v>
      </c>
    </row>
    <row r="516" spans="1:1">
      <c r="A516" s="16" t="s">
        <v>575</v>
      </c>
    </row>
    <row r="517" spans="1:1">
      <c r="A517" s="16" t="s">
        <v>579</v>
      </c>
    </row>
    <row r="518" spans="1:1">
      <c r="A518" s="16" t="s">
        <v>2472</v>
      </c>
    </row>
    <row r="519" spans="1:1">
      <c r="A519" s="16" t="s">
        <v>2473</v>
      </c>
    </row>
    <row r="520" spans="1:1">
      <c r="A520" s="16" t="s">
        <v>2474</v>
      </c>
    </row>
    <row r="521" spans="1:1">
      <c r="A521" s="16" t="s">
        <v>2475</v>
      </c>
    </row>
    <row r="522" spans="1:1">
      <c r="A522" s="16" t="s">
        <v>2476</v>
      </c>
    </row>
    <row r="523" spans="1:1">
      <c r="A523" s="16" t="s">
        <v>583</v>
      </c>
    </row>
    <row r="524" spans="1:1">
      <c r="A524" s="16" t="s">
        <v>585</v>
      </c>
    </row>
    <row r="525" spans="1:1">
      <c r="A525" s="16" t="s">
        <v>586</v>
      </c>
    </row>
    <row r="526" spans="1:1">
      <c r="A526" s="16" t="s">
        <v>1768</v>
      </c>
    </row>
    <row r="527" spans="1:1">
      <c r="A527" s="16" t="s">
        <v>587</v>
      </c>
    </row>
    <row r="528" spans="1:1">
      <c r="A528" s="16" t="s">
        <v>2477</v>
      </c>
    </row>
    <row r="529" spans="1:1">
      <c r="A529" s="16" t="s">
        <v>2478</v>
      </c>
    </row>
    <row r="530" spans="1:1">
      <c r="A530" s="16" t="s">
        <v>2479</v>
      </c>
    </row>
    <row r="531" spans="1:1">
      <c r="A531" s="16" t="s">
        <v>2480</v>
      </c>
    </row>
    <row r="532" spans="1:1">
      <c r="A532" s="16" t="s">
        <v>2481</v>
      </c>
    </row>
    <row r="533" spans="1:1">
      <c r="A533" s="16" t="s">
        <v>2482</v>
      </c>
    </row>
    <row r="534" spans="1:1">
      <c r="A534" s="16" t="s">
        <v>2483</v>
      </c>
    </row>
    <row r="535" spans="1:1">
      <c r="A535" s="16" t="s">
        <v>2484</v>
      </c>
    </row>
    <row r="536" spans="1:1">
      <c r="A536" s="16" t="s">
        <v>2485</v>
      </c>
    </row>
    <row r="537" spans="1:1">
      <c r="A537" s="16" t="s">
        <v>2486</v>
      </c>
    </row>
    <row r="538" spans="1:1">
      <c r="A538" s="16" t="s">
        <v>2487</v>
      </c>
    </row>
    <row r="539" spans="1:1">
      <c r="A539" s="16" t="s">
        <v>593</v>
      </c>
    </row>
    <row r="540" spans="1:1">
      <c r="A540" s="16" t="s">
        <v>2488</v>
      </c>
    </row>
    <row r="541" spans="1:1">
      <c r="A541" s="16" t="s">
        <v>2489</v>
      </c>
    </row>
    <row r="542" spans="1:1">
      <c r="A542" s="16" t="s">
        <v>2490</v>
      </c>
    </row>
    <row r="543" spans="1:1">
      <c r="A543" s="16" t="s">
        <v>2491</v>
      </c>
    </row>
    <row r="544" spans="1:1">
      <c r="A544" s="16" t="s">
        <v>2492</v>
      </c>
    </row>
    <row r="545" spans="1:1">
      <c r="A545" s="16" t="s">
        <v>2493</v>
      </c>
    </row>
    <row r="546" spans="1:1">
      <c r="A546" s="16" t="s">
        <v>595</v>
      </c>
    </row>
    <row r="547" spans="1:1">
      <c r="A547" s="16" t="s">
        <v>599</v>
      </c>
    </row>
    <row r="548" spans="1:1">
      <c r="A548" s="16" t="s">
        <v>602</v>
      </c>
    </row>
    <row r="549" spans="1:1">
      <c r="A549" s="16" t="s">
        <v>1786</v>
      </c>
    </row>
    <row r="550" spans="1:1">
      <c r="A550" s="16" t="s">
        <v>603</v>
      </c>
    </row>
    <row r="551" spans="1:1">
      <c r="A551" s="16" t="s">
        <v>2494</v>
      </c>
    </row>
    <row r="552" spans="1:1">
      <c r="A552" s="16" t="s">
        <v>1039</v>
      </c>
    </row>
    <row r="553" spans="1:1">
      <c r="A553" s="16" t="s">
        <v>2495</v>
      </c>
    </row>
    <row r="554" spans="1:1">
      <c r="A554" s="16" t="s">
        <v>606</v>
      </c>
    </row>
    <row r="555" spans="1:1">
      <c r="A555" s="16" t="s">
        <v>1041</v>
      </c>
    </row>
    <row r="556" spans="1:1">
      <c r="A556" s="16" t="s">
        <v>2496</v>
      </c>
    </row>
    <row r="557" spans="1:1">
      <c r="A557" s="16" t="s">
        <v>2497</v>
      </c>
    </row>
    <row r="558" spans="1:1">
      <c r="A558" s="16" t="s">
        <v>2498</v>
      </c>
    </row>
    <row r="559" spans="1:1">
      <c r="A559" s="16" t="s">
        <v>612</v>
      </c>
    </row>
    <row r="560" spans="1:1">
      <c r="A560" s="16" t="s">
        <v>2499</v>
      </c>
    </row>
    <row r="561" spans="1:1">
      <c r="A561" s="16" t="s">
        <v>2500</v>
      </c>
    </row>
    <row r="562" spans="1:1">
      <c r="A562" s="16" t="s">
        <v>2501</v>
      </c>
    </row>
    <row r="563" spans="1:1">
      <c r="A563" s="16" t="s">
        <v>617</v>
      </c>
    </row>
    <row r="564" spans="1:1">
      <c r="A564" s="16" t="s">
        <v>619</v>
      </c>
    </row>
    <row r="565" spans="1:1">
      <c r="A565" s="16" t="s">
        <v>620</v>
      </c>
    </row>
    <row r="566" spans="1:1">
      <c r="A566" s="16" t="s">
        <v>2502</v>
      </c>
    </row>
    <row r="567" spans="1:1">
      <c r="A567" s="16" t="s">
        <v>2503</v>
      </c>
    </row>
    <row r="568" spans="1:1">
      <c r="A568" s="16" t="s">
        <v>622</v>
      </c>
    </row>
    <row r="569" spans="1:1">
      <c r="A569" s="16" t="s">
        <v>2504</v>
      </c>
    </row>
    <row r="570" spans="1:1">
      <c r="A570" s="16" t="s">
        <v>2505</v>
      </c>
    </row>
    <row r="571" spans="1:1">
      <c r="A571" s="16" t="s">
        <v>2506</v>
      </c>
    </row>
    <row r="572" spans="1:1">
      <c r="A572" s="16" t="s">
        <v>2507</v>
      </c>
    </row>
    <row r="573" spans="1:1">
      <c r="A573" s="16" t="s">
        <v>1048</v>
      </c>
    </row>
    <row r="574" spans="1:1">
      <c r="A574" s="16" t="s">
        <v>2508</v>
      </c>
    </row>
    <row r="575" spans="1:1">
      <c r="A575" s="16" t="s">
        <v>2509</v>
      </c>
    </row>
    <row r="576" spans="1:1">
      <c r="A576" s="16" t="s">
        <v>629</v>
      </c>
    </row>
    <row r="577" spans="1:1">
      <c r="A577" s="16" t="s">
        <v>2510</v>
      </c>
    </row>
    <row r="578" spans="1:1">
      <c r="A578" s="16" t="s">
        <v>631</v>
      </c>
    </row>
    <row r="579" spans="1:1">
      <c r="A579" s="16" t="s">
        <v>2511</v>
      </c>
    </row>
    <row r="580" spans="1:1">
      <c r="A580" s="16" t="s">
        <v>2512</v>
      </c>
    </row>
    <row r="581" spans="1:1">
      <c r="A581" s="16" t="s">
        <v>635</v>
      </c>
    </row>
    <row r="582" spans="1:1">
      <c r="A582" s="16" t="s">
        <v>2513</v>
      </c>
    </row>
    <row r="583" spans="1:1">
      <c r="A583" s="16" t="s">
        <v>1829</v>
      </c>
    </row>
    <row r="584" spans="1:1">
      <c r="A584" s="16" t="s">
        <v>2514</v>
      </c>
    </row>
    <row r="585" spans="1:1">
      <c r="A585" s="16" t="s">
        <v>2515</v>
      </c>
    </row>
    <row r="586" spans="1:1">
      <c r="A586" s="16" t="s">
        <v>2516</v>
      </c>
    </row>
    <row r="587" spans="1:1">
      <c r="A587" s="16" t="s">
        <v>849</v>
      </c>
    </row>
    <row r="588" spans="1:1">
      <c r="A588" s="16" t="s">
        <v>2517</v>
      </c>
    </row>
    <row r="589" spans="1:1">
      <c r="A589" s="16" t="s">
        <v>2518</v>
      </c>
    </row>
    <row r="590" spans="1:1">
      <c r="A590" s="16" t="s">
        <v>2519</v>
      </c>
    </row>
    <row r="591" spans="1:1">
      <c r="A591" s="16" t="s">
        <v>1068</v>
      </c>
    </row>
    <row r="592" spans="1:1">
      <c r="A592" s="16" t="s">
        <v>641</v>
      </c>
    </row>
    <row r="593" spans="1:1">
      <c r="A593" s="16" t="s">
        <v>2520</v>
      </c>
    </row>
    <row r="594" spans="1:1">
      <c r="A594" s="16" t="s">
        <v>2521</v>
      </c>
    </row>
    <row r="595" spans="1:1">
      <c r="A595" s="16" t="s">
        <v>1843</v>
      </c>
    </row>
    <row r="596" spans="1:1">
      <c r="A596" s="16" t="s">
        <v>2522</v>
      </c>
    </row>
    <row r="597" spans="1:1">
      <c r="A597" s="16" t="s">
        <v>643</v>
      </c>
    </row>
    <row r="598" spans="1:1">
      <c r="A598" s="16" t="s">
        <v>1845</v>
      </c>
    </row>
    <row r="599" spans="1:1">
      <c r="A599" s="16" t="s">
        <v>2523</v>
      </c>
    </row>
    <row r="600" spans="1:1">
      <c r="A600" s="16" t="s">
        <v>2524</v>
      </c>
    </row>
    <row r="601" spans="1:1">
      <c r="A601" s="16" t="s">
        <v>647</v>
      </c>
    </row>
    <row r="602" spans="1:1">
      <c r="A602" s="16" t="s">
        <v>2525</v>
      </c>
    </row>
    <row r="603" spans="1:1">
      <c r="A603" s="16" t="s">
        <v>2526</v>
      </c>
    </row>
    <row r="604" spans="1:1">
      <c r="A604" s="16" t="s">
        <v>1070</v>
      </c>
    </row>
    <row r="605" spans="1:1">
      <c r="A605" s="16" t="s">
        <v>2527</v>
      </c>
    </row>
    <row r="606" spans="1:1">
      <c r="A606" s="16" t="s">
        <v>648</v>
      </c>
    </row>
    <row r="607" spans="1:1">
      <c r="A607" s="16" t="s">
        <v>2528</v>
      </c>
    </row>
    <row r="608" spans="1:1">
      <c r="A608" s="16" t="s">
        <v>2529</v>
      </c>
    </row>
    <row r="609" spans="1:1">
      <c r="A609" s="16" t="s">
        <v>2530</v>
      </c>
    </row>
    <row r="610" spans="1:1">
      <c r="A610" s="16" t="s">
        <v>2531</v>
      </c>
    </row>
    <row r="611" spans="1:1">
      <c r="A611" s="16" t="s">
        <v>1470</v>
      </c>
    </row>
    <row r="612" spans="1:1">
      <c r="A612" s="16" t="s">
        <v>2532</v>
      </c>
    </row>
    <row r="613" spans="1:1">
      <c r="A613" s="16" t="s">
        <v>2533</v>
      </c>
    </row>
    <row r="614" spans="1:1">
      <c r="A614" s="16" t="s">
        <v>655</v>
      </c>
    </row>
    <row r="615" spans="1:1">
      <c r="A615" s="16" t="s">
        <v>656</v>
      </c>
    </row>
    <row r="616" spans="1:1">
      <c r="A616" s="16" t="s">
        <v>2534</v>
      </c>
    </row>
    <row r="617" spans="1:1">
      <c r="A617" s="16" t="s">
        <v>657</v>
      </c>
    </row>
    <row r="618" spans="1:1">
      <c r="A618" s="16" t="s">
        <v>2535</v>
      </c>
    </row>
    <row r="619" spans="1:1">
      <c r="A619" s="16" t="s">
        <v>2536</v>
      </c>
    </row>
    <row r="620" spans="1:1">
      <c r="A620" s="16" t="s">
        <v>2537</v>
      </c>
    </row>
    <row r="621" spans="1:1">
      <c r="A621" s="16" t="s">
        <v>659</v>
      </c>
    </row>
    <row r="622" spans="1:1">
      <c r="A622" s="16" t="s">
        <v>2538</v>
      </c>
    </row>
    <row r="623" spans="1:1">
      <c r="A623" s="16" t="s">
        <v>2539</v>
      </c>
    </row>
    <row r="624" spans="1:1">
      <c r="A624" s="16" t="s">
        <v>2540</v>
      </c>
    </row>
    <row r="625" spans="1:1">
      <c r="A625" s="16" t="s">
        <v>662</v>
      </c>
    </row>
    <row r="626" spans="1:1">
      <c r="A626" s="16" t="s">
        <v>1879</v>
      </c>
    </row>
    <row r="627" spans="1:1">
      <c r="A627" s="16" t="s">
        <v>2541</v>
      </c>
    </row>
    <row r="628" spans="1:1">
      <c r="A628" s="16" t="s">
        <v>2542</v>
      </c>
    </row>
    <row r="629" spans="1:1">
      <c r="A629" s="16" t="s">
        <v>665</v>
      </c>
    </row>
    <row r="630" spans="1:1">
      <c r="A630" s="16" t="s">
        <v>2543</v>
      </c>
    </row>
    <row r="631" spans="1:1">
      <c r="A631" s="16" t="s">
        <v>2544</v>
      </c>
    </row>
    <row r="632" spans="1:1">
      <c r="A632" s="16" t="s">
        <v>2545</v>
      </c>
    </row>
    <row r="633" spans="1:1">
      <c r="A633" s="16" t="s">
        <v>2546</v>
      </c>
    </row>
    <row r="634" spans="1:1">
      <c r="A634" s="16" t="s">
        <v>2547</v>
      </c>
    </row>
    <row r="635" spans="1:1">
      <c r="A635" s="16" t="s">
        <v>670</v>
      </c>
    </row>
    <row r="636" spans="1:1">
      <c r="A636" s="16" t="s">
        <v>2548</v>
      </c>
    </row>
    <row r="637" spans="1:1">
      <c r="A637" s="16" t="s">
        <v>2549</v>
      </c>
    </row>
    <row r="638" spans="1:1">
      <c r="A638" s="16" t="s">
        <v>2550</v>
      </c>
    </row>
    <row r="639" spans="1:1">
      <c r="A639" s="16" t="s">
        <v>2551</v>
      </c>
    </row>
    <row r="640" spans="1:1">
      <c r="A640" s="16" t="s">
        <v>2552</v>
      </c>
    </row>
    <row r="641" spans="1:1">
      <c r="A641" s="16" t="s">
        <v>2553</v>
      </c>
    </row>
    <row r="642" spans="1:1">
      <c r="A642" s="16" t="s">
        <v>2554</v>
      </c>
    </row>
    <row r="643" spans="1:1">
      <c r="A643" s="16" t="s">
        <v>2555</v>
      </c>
    </row>
    <row r="644" spans="1:1">
      <c r="A644" s="16" t="s">
        <v>672</v>
      </c>
    </row>
    <row r="645" spans="1:1">
      <c r="A645" s="16" t="s">
        <v>2556</v>
      </c>
    </row>
    <row r="646" spans="1:1">
      <c r="A646" s="16" t="s">
        <v>674</v>
      </c>
    </row>
    <row r="647" spans="1:1">
      <c r="A647" s="16" t="s">
        <v>676</v>
      </c>
    </row>
    <row r="648" spans="1:1">
      <c r="A648" s="16" t="s">
        <v>677</v>
      </c>
    </row>
    <row r="649" spans="1:1">
      <c r="A649" s="16" t="s">
        <v>2557</v>
      </c>
    </row>
    <row r="650" spans="1:1">
      <c r="A650" s="16" t="s">
        <v>2558</v>
      </c>
    </row>
    <row r="651" spans="1:1">
      <c r="A651" s="16" t="s">
        <v>2559</v>
      </c>
    </row>
    <row r="652" spans="1:1">
      <c r="A652" s="16" t="s">
        <v>2560</v>
      </c>
    </row>
    <row r="653" spans="1:1">
      <c r="A653" s="16" t="s">
        <v>2561</v>
      </c>
    </row>
    <row r="654" spans="1:1">
      <c r="A654" s="16" t="s">
        <v>678</v>
      </c>
    </row>
    <row r="655" spans="1:1">
      <c r="A655" s="16" t="s">
        <v>2562</v>
      </c>
    </row>
    <row r="656" spans="1:1">
      <c r="A656" s="16" t="s">
        <v>2563</v>
      </c>
    </row>
    <row r="657" spans="1:1">
      <c r="A657" s="16" t="s">
        <v>679</v>
      </c>
    </row>
    <row r="658" spans="1:1">
      <c r="A658" s="16" t="s">
        <v>680</v>
      </c>
    </row>
    <row r="659" spans="1:1">
      <c r="A659" s="16" t="s">
        <v>682</v>
      </c>
    </row>
    <row r="660" spans="1:1">
      <c r="A660" s="16" t="s">
        <v>2564</v>
      </c>
    </row>
    <row r="661" spans="1:1">
      <c r="A661" s="16" t="s">
        <v>2565</v>
      </c>
    </row>
    <row r="662" spans="1:1">
      <c r="A662" s="16" t="s">
        <v>2566</v>
      </c>
    </row>
    <row r="663" spans="1:1">
      <c r="A663" s="16" t="s">
        <v>683</v>
      </c>
    </row>
    <row r="664" spans="1:1">
      <c r="A664" s="16" t="s">
        <v>1087</v>
      </c>
    </row>
    <row r="665" spans="1:1">
      <c r="A665" s="16" t="s">
        <v>684</v>
      </c>
    </row>
    <row r="666" spans="1:1">
      <c r="A666" s="16" t="s">
        <v>685</v>
      </c>
    </row>
    <row r="667" spans="1:1">
      <c r="A667" s="16" t="s">
        <v>2567</v>
      </c>
    </row>
    <row r="668" spans="1:1">
      <c r="A668" s="16" t="s">
        <v>2568</v>
      </c>
    </row>
    <row r="669" spans="1:1">
      <c r="A669" s="16" t="s">
        <v>1092</v>
      </c>
    </row>
    <row r="670" spans="1:1">
      <c r="A670" s="16" t="s">
        <v>2569</v>
      </c>
    </row>
    <row r="671" spans="1:1">
      <c r="A671" s="16" t="s">
        <v>2570</v>
      </c>
    </row>
    <row r="672" spans="1:1">
      <c r="A672" s="16" t="s">
        <v>2571</v>
      </c>
    </row>
    <row r="673" spans="1:1">
      <c r="A673" s="16" t="s">
        <v>2572</v>
      </c>
    </row>
    <row r="674" spans="1:1">
      <c r="A674" s="16" t="s">
        <v>2573</v>
      </c>
    </row>
    <row r="675" spans="1:1">
      <c r="A675" s="16" t="s">
        <v>690</v>
      </c>
    </row>
    <row r="676" spans="1:1">
      <c r="A676" s="16" t="s">
        <v>691</v>
      </c>
    </row>
    <row r="677" spans="1:1">
      <c r="A677" s="16" t="s">
        <v>2574</v>
      </c>
    </row>
    <row r="678" spans="1:1">
      <c r="A678" s="16" t="s">
        <v>2575</v>
      </c>
    </row>
    <row r="679" spans="1:1">
      <c r="A679" s="16" t="s">
        <v>1900</v>
      </c>
    </row>
    <row r="680" spans="1:1">
      <c r="A680" s="16" t="s">
        <v>694</v>
      </c>
    </row>
    <row r="681" spans="1:1">
      <c r="A681" s="16" t="s">
        <v>2576</v>
      </c>
    </row>
    <row r="682" spans="1:1">
      <c r="A682" s="16" t="s">
        <v>2577</v>
      </c>
    </row>
    <row r="683" spans="1:1">
      <c r="A683" s="16" t="s">
        <v>2578</v>
      </c>
    </row>
    <row r="684" spans="1:1">
      <c r="A684" s="16" t="s">
        <v>2579</v>
      </c>
    </row>
    <row r="685" spans="1:1">
      <c r="A685" s="16" t="s">
        <v>2580</v>
      </c>
    </row>
    <row r="686" spans="1:1">
      <c r="A686" s="16" t="s">
        <v>2581</v>
      </c>
    </row>
    <row r="687" spans="1:1">
      <c r="A687" s="16" t="s">
        <v>696</v>
      </c>
    </row>
    <row r="688" spans="1:1">
      <c r="A688" s="16" t="s">
        <v>698</v>
      </c>
    </row>
    <row r="689" spans="1:1">
      <c r="A689" s="16" t="s">
        <v>2582</v>
      </c>
    </row>
    <row r="690" spans="1:1">
      <c r="A690" s="16" t="s">
        <v>2583</v>
      </c>
    </row>
    <row r="691" spans="1:1">
      <c r="A691" s="16" t="s">
        <v>2584</v>
      </c>
    </row>
    <row r="692" spans="1:1">
      <c r="A692" s="16" t="s">
        <v>2585</v>
      </c>
    </row>
    <row r="693" spans="1:1">
      <c r="A693" s="16" t="s">
        <v>2586</v>
      </c>
    </row>
    <row r="694" spans="1:1">
      <c r="A694" s="16" t="s">
        <v>1917</v>
      </c>
    </row>
    <row r="695" spans="1:1">
      <c r="A695" s="16" t="s">
        <v>2587</v>
      </c>
    </row>
    <row r="696" spans="1:1">
      <c r="A696" s="16" t="s">
        <v>2588</v>
      </c>
    </row>
    <row r="697" spans="1:1">
      <c r="A697" s="16" t="s">
        <v>2589</v>
      </c>
    </row>
    <row r="698" spans="1:1">
      <c r="A698" s="16" t="s">
        <v>1107</v>
      </c>
    </row>
    <row r="699" spans="1:1">
      <c r="A699" s="16" t="s">
        <v>2590</v>
      </c>
    </row>
    <row r="700" spans="1:1">
      <c r="A700" s="16" t="s">
        <v>715</v>
      </c>
    </row>
    <row r="701" spans="1:1">
      <c r="A701" s="16" t="s">
        <v>718</v>
      </c>
    </row>
    <row r="702" spans="1:1">
      <c r="A702" s="16" t="s">
        <v>719</v>
      </c>
    </row>
    <row r="703" spans="1:1">
      <c r="A703" s="16" t="s">
        <v>2591</v>
      </c>
    </row>
    <row r="704" spans="1:1">
      <c r="A704" s="16" t="s">
        <v>2592</v>
      </c>
    </row>
    <row r="705" spans="1:1">
      <c r="A705" s="16" t="s">
        <v>722</v>
      </c>
    </row>
    <row r="706" spans="1:1">
      <c r="A706" s="16" t="s">
        <v>723</v>
      </c>
    </row>
    <row r="707" spans="1:1">
      <c r="A707" s="16" t="s">
        <v>2593</v>
      </c>
    </row>
    <row r="708" spans="1:1">
      <c r="A708" s="16" t="s">
        <v>2594</v>
      </c>
    </row>
    <row r="709" spans="1:1">
      <c r="A709" s="16" t="s">
        <v>2595</v>
      </c>
    </row>
    <row r="710" spans="1:1">
      <c r="A710" s="16" t="s">
        <v>852</v>
      </c>
    </row>
    <row r="711" spans="1:1">
      <c r="A711" s="16" t="s">
        <v>728</v>
      </c>
    </row>
    <row r="712" spans="1:1">
      <c r="A712" s="16" t="s">
        <v>2596</v>
      </c>
    </row>
    <row r="713" spans="1:1">
      <c r="A713" s="16" t="s">
        <v>2597</v>
      </c>
    </row>
    <row r="714" spans="1:1">
      <c r="A714" s="16" t="s">
        <v>2598</v>
      </c>
    </row>
    <row r="715" spans="1:1">
      <c r="A715" s="16" t="s">
        <v>2599</v>
      </c>
    </row>
    <row r="716" spans="1:1">
      <c r="A716" s="16" t="s">
        <v>2600</v>
      </c>
    </row>
    <row r="717" spans="1:1">
      <c r="A717" s="16" t="s">
        <v>2601</v>
      </c>
    </row>
    <row r="718" spans="1:1">
      <c r="A718" s="16" t="s">
        <v>2602</v>
      </c>
    </row>
    <row r="719" spans="1:1">
      <c r="A719" s="16" t="s">
        <v>1945</v>
      </c>
    </row>
    <row r="720" spans="1:1">
      <c r="A720" s="16" t="s">
        <v>2603</v>
      </c>
    </row>
    <row r="721" spans="1:1">
      <c r="A721" s="16" t="s">
        <v>1947</v>
      </c>
    </row>
    <row r="722" spans="1:1">
      <c r="A722" s="16" t="s">
        <v>2604</v>
      </c>
    </row>
    <row r="723" spans="1:1">
      <c r="A723" s="16" t="s">
        <v>2605</v>
      </c>
    </row>
    <row r="724" spans="1:1">
      <c r="A724" s="16" t="s">
        <v>2606</v>
      </c>
    </row>
    <row r="725" spans="1:1">
      <c r="A725" s="16" t="s">
        <v>2607</v>
      </c>
    </row>
    <row r="726" spans="1:1">
      <c r="A726" s="16" t="s">
        <v>2608</v>
      </c>
    </row>
    <row r="727" spans="1:1">
      <c r="A727" s="16" t="s">
        <v>2609</v>
      </c>
    </row>
    <row r="728" spans="1:1">
      <c r="A728" s="16" t="s">
        <v>2610</v>
      </c>
    </row>
    <row r="729" spans="1:1">
      <c r="A729" s="16" t="s">
        <v>743</v>
      </c>
    </row>
    <row r="730" spans="1:1">
      <c r="A730" s="16" t="s">
        <v>2611</v>
      </c>
    </row>
    <row r="731" spans="1:1">
      <c r="A731" s="16" t="s">
        <v>1957</v>
      </c>
    </row>
    <row r="732" spans="1:1">
      <c r="A732" s="16" t="s">
        <v>2612</v>
      </c>
    </row>
    <row r="733" spans="1:1">
      <c r="A733" s="16" t="s">
        <v>2613</v>
      </c>
    </row>
    <row r="734" spans="1:1">
      <c r="A734" s="16" t="s">
        <v>744</v>
      </c>
    </row>
    <row r="735" spans="1:1">
      <c r="A735" s="16" t="s">
        <v>2614</v>
      </c>
    </row>
    <row r="736" spans="1:1">
      <c r="A736" s="16" t="s">
        <v>746</v>
      </c>
    </row>
    <row r="737" spans="1:1">
      <c r="A737" s="16" t="s">
        <v>2615</v>
      </c>
    </row>
    <row r="738" spans="1:1">
      <c r="A738" s="16" t="s">
        <v>1142</v>
      </c>
    </row>
    <row r="739" spans="1:1">
      <c r="A739" s="16" t="s">
        <v>2616</v>
      </c>
    </row>
    <row r="740" spans="1:1">
      <c r="A740" s="16" t="s">
        <v>2617</v>
      </c>
    </row>
    <row r="741" spans="1:1">
      <c r="A741" s="16" t="s">
        <v>2618</v>
      </c>
    </row>
    <row r="742" spans="1:1">
      <c r="A742" s="16" t="s">
        <v>2619</v>
      </c>
    </row>
    <row r="743" spans="1:1">
      <c r="A743" s="16" t="s">
        <v>2620</v>
      </c>
    </row>
    <row r="744" spans="1:1">
      <c r="A744" s="16" t="s">
        <v>753</v>
      </c>
    </row>
    <row r="745" spans="1:1">
      <c r="A745" s="16" t="s">
        <v>2621</v>
      </c>
    </row>
    <row r="746" spans="1:1">
      <c r="A746" s="16" t="s">
        <v>756</v>
      </c>
    </row>
    <row r="747" spans="1:1">
      <c r="A747" s="16" t="s">
        <v>2622</v>
      </c>
    </row>
    <row r="748" spans="1:1">
      <c r="A748" s="16" t="s">
        <v>1148</v>
      </c>
    </row>
    <row r="749" spans="1:1">
      <c r="A749" s="16" t="s">
        <v>1150</v>
      </c>
    </row>
    <row r="750" spans="1:1">
      <c r="A750" s="16" t="s">
        <v>2623</v>
      </c>
    </row>
    <row r="751" spans="1:1">
      <c r="A751" s="16" t="s">
        <v>2624</v>
      </c>
    </row>
    <row r="752" spans="1:1">
      <c r="A752" s="16" t="s">
        <v>2625</v>
      </c>
    </row>
    <row r="753" spans="1:1">
      <c r="A753" s="16" t="s">
        <v>2626</v>
      </c>
    </row>
    <row r="754" spans="1:1">
      <c r="A754" s="16" t="s">
        <v>2627</v>
      </c>
    </row>
    <row r="755" spans="1:1">
      <c r="A755" s="16" t="s">
        <v>1978</v>
      </c>
    </row>
    <row r="756" spans="1:1">
      <c r="A756" s="16" t="s">
        <v>2628</v>
      </c>
    </row>
    <row r="757" spans="1:1">
      <c r="A757" s="16" t="s">
        <v>758</v>
      </c>
    </row>
    <row r="758" spans="1:1">
      <c r="A758" s="16" t="s">
        <v>2629</v>
      </c>
    </row>
    <row r="759" spans="1:1">
      <c r="A759" s="16" t="s">
        <v>2630</v>
      </c>
    </row>
    <row r="760" spans="1:1">
      <c r="A760" s="16" t="s">
        <v>2631</v>
      </c>
    </row>
    <row r="761" spans="1:1">
      <c r="A761" s="16" t="s">
        <v>2632</v>
      </c>
    </row>
    <row r="762" spans="1:1">
      <c r="A762" s="16" t="s">
        <v>762</v>
      </c>
    </row>
    <row r="763" spans="1:1">
      <c r="A763" s="16" t="s">
        <v>2633</v>
      </c>
    </row>
    <row r="764" spans="1:1">
      <c r="A764" s="16" t="s">
        <v>2634</v>
      </c>
    </row>
    <row r="765" spans="1:1">
      <c r="A765" s="16" t="s">
        <v>2635</v>
      </c>
    </row>
    <row r="766" spans="1:1">
      <c r="A766" s="16" t="s">
        <v>2636</v>
      </c>
    </row>
    <row r="767" spans="1:1">
      <c r="A767" s="16" t="s">
        <v>2637</v>
      </c>
    </row>
    <row r="768" spans="1:1">
      <c r="A768" s="16" t="s">
        <v>1996</v>
      </c>
    </row>
    <row r="769" spans="1:1">
      <c r="A769" s="16" t="s">
        <v>2638</v>
      </c>
    </row>
    <row r="770" spans="1:1">
      <c r="A770" s="16" t="s">
        <v>2639</v>
      </c>
    </row>
    <row r="771" spans="1:1">
      <c r="A771" s="16" t="s">
        <v>2640</v>
      </c>
    </row>
    <row r="772" spans="1:1">
      <c r="A772" s="16" t="s">
        <v>2641</v>
      </c>
    </row>
    <row r="773" spans="1:1">
      <c r="A773" s="16" t="s">
        <v>2642</v>
      </c>
    </row>
    <row r="774" spans="1:1">
      <c r="A774" s="16" t="s">
        <v>770</v>
      </c>
    </row>
    <row r="775" spans="1:1">
      <c r="A775" s="16" t="s">
        <v>2643</v>
      </c>
    </row>
    <row r="776" spans="1:1">
      <c r="A776" s="16" t="s">
        <v>772</v>
      </c>
    </row>
    <row r="777" spans="1:1">
      <c r="A777" s="16" t="s">
        <v>2644</v>
      </c>
    </row>
    <row r="778" spans="1:1">
      <c r="A778" s="16" t="s">
        <v>2645</v>
      </c>
    </row>
    <row r="779" spans="1:1">
      <c r="A779" s="16" t="s">
        <v>2646</v>
      </c>
    </row>
    <row r="780" spans="1:1">
      <c r="A780" s="16" t="s">
        <v>2647</v>
      </c>
    </row>
    <row r="781" spans="1:1">
      <c r="A781" s="16" t="s">
        <v>1166</v>
      </c>
    </row>
    <row r="782" spans="1:1">
      <c r="A782" s="16" t="s">
        <v>2648</v>
      </c>
    </row>
    <row r="783" spans="1:1">
      <c r="A783" s="16" t="s">
        <v>2649</v>
      </c>
    </row>
    <row r="784" spans="1:1">
      <c r="A784" s="16" t="s">
        <v>2650</v>
      </c>
    </row>
    <row r="785" spans="1:1">
      <c r="A785" s="16" t="s">
        <v>2651</v>
      </c>
    </row>
    <row r="786" spans="1:1">
      <c r="A786" s="16" t="s">
        <v>776</v>
      </c>
    </row>
    <row r="787" spans="1:1">
      <c r="A787" s="16" t="s">
        <v>2652</v>
      </c>
    </row>
    <row r="788" spans="1:1">
      <c r="A788" s="16" t="s">
        <v>2653</v>
      </c>
    </row>
    <row r="789" spans="1:1">
      <c r="A789" s="16" t="s">
        <v>779</v>
      </c>
    </row>
    <row r="790" spans="1:1">
      <c r="A790" s="16" t="s">
        <v>2654</v>
      </c>
    </row>
    <row r="791" spans="1:1">
      <c r="A791" s="16" t="s">
        <v>2655</v>
      </c>
    </row>
    <row r="792" spans="1:1">
      <c r="A792" s="16" t="s">
        <v>783</v>
      </c>
    </row>
    <row r="793" spans="1:1">
      <c r="A793" s="16" t="s">
        <v>784</v>
      </c>
    </row>
    <row r="794" spans="1:1">
      <c r="A794" s="16" t="s">
        <v>2656</v>
      </c>
    </row>
    <row r="795" spans="1:1">
      <c r="A795" s="16" t="s">
        <v>2657</v>
      </c>
    </row>
    <row r="796" spans="1:1">
      <c r="A796" s="16" t="s">
        <v>2658</v>
      </c>
    </row>
    <row r="797" spans="1:1">
      <c r="A797" s="16" t="s">
        <v>2659</v>
      </c>
    </row>
    <row r="798" spans="1:1">
      <c r="A798" s="16" t="s">
        <v>2660</v>
      </c>
    </row>
    <row r="799" spans="1:1">
      <c r="A799" s="16" t="s">
        <v>2661</v>
      </c>
    </row>
    <row r="800" spans="1:1">
      <c r="A800" s="16" t="s">
        <v>2662</v>
      </c>
    </row>
    <row r="801" spans="1:1">
      <c r="A801" s="16" t="s">
        <v>2663</v>
      </c>
    </row>
    <row r="802" spans="1:1">
      <c r="A802" s="16" t="s">
        <v>2664</v>
      </c>
    </row>
    <row r="803" spans="1:1">
      <c r="A803" s="16" t="s">
        <v>2665</v>
      </c>
    </row>
    <row r="804" spans="1:1">
      <c r="A804" s="16" t="s">
        <v>787</v>
      </c>
    </row>
    <row r="805" spans="1:1">
      <c r="A805" s="16" t="s">
        <v>2666</v>
      </c>
    </row>
    <row r="806" spans="1:1">
      <c r="A806" s="16" t="s">
        <v>2040</v>
      </c>
    </row>
    <row r="807" spans="1:1">
      <c r="A807" s="16" t="s">
        <v>2667</v>
      </c>
    </row>
    <row r="808" spans="1:1">
      <c r="A808" s="16" t="s">
        <v>2043</v>
      </c>
    </row>
    <row r="809" spans="1:1">
      <c r="A809" s="16" t="s">
        <v>793</v>
      </c>
    </row>
    <row r="810" spans="1:1">
      <c r="A810" s="16" t="s">
        <v>794</v>
      </c>
    </row>
    <row r="811" spans="1:1">
      <c r="A811" s="16" t="s">
        <v>2668</v>
      </c>
    </row>
    <row r="812" spans="1:1">
      <c r="A812" s="16" t="s">
        <v>795</v>
      </c>
    </row>
    <row r="813" spans="1:1">
      <c r="A813" s="16" t="s">
        <v>2669</v>
      </c>
    </row>
    <row r="814" spans="1:1">
      <c r="A814" s="16" t="s">
        <v>797</v>
      </c>
    </row>
    <row r="815" spans="1:1">
      <c r="A815" s="16" t="s">
        <v>2670</v>
      </c>
    </row>
    <row r="816" spans="1:1">
      <c r="A816" s="16" t="s">
        <v>2671</v>
      </c>
    </row>
    <row r="817" spans="1:1">
      <c r="A817" s="16" t="s">
        <v>2049</v>
      </c>
    </row>
    <row r="818" spans="1:1">
      <c r="A818" s="16" t="s">
        <v>2672</v>
      </c>
    </row>
    <row r="819" spans="1:1">
      <c r="A819" s="16" t="s">
        <v>2673</v>
      </c>
    </row>
    <row r="820" spans="1:1">
      <c r="A820" s="16" t="s">
        <v>799</v>
      </c>
    </row>
    <row r="821" spans="1:1">
      <c r="A821" s="16" t="s">
        <v>2674</v>
      </c>
    </row>
    <row r="822" spans="1:1">
      <c r="A822" s="16" t="s">
        <v>801</v>
      </c>
    </row>
    <row r="823" spans="1:1">
      <c r="A823" s="16" t="s">
        <v>2675</v>
      </c>
    </row>
    <row r="824" spans="1:1">
      <c r="A824" s="16" t="s">
        <v>802</v>
      </c>
    </row>
    <row r="825" spans="1:1">
      <c r="A825" s="16" t="s">
        <v>2676</v>
      </c>
    </row>
    <row r="826" spans="1:1">
      <c r="A826" s="16" t="s">
        <v>1474</v>
      </c>
    </row>
    <row r="827" spans="1:1">
      <c r="A827" s="16" t="s">
        <v>2677</v>
      </c>
    </row>
    <row r="828" spans="1:1">
      <c r="A828" s="16" t="s">
        <v>808</v>
      </c>
    </row>
    <row r="829" spans="1:1">
      <c r="A829" s="16" t="s">
        <v>811</v>
      </c>
    </row>
    <row r="830" spans="1:1">
      <c r="A830" s="16" t="s">
        <v>1189</v>
      </c>
    </row>
    <row r="831" spans="1:1">
      <c r="A831" s="16" t="s">
        <v>2678</v>
      </c>
    </row>
    <row r="832" spans="1:1">
      <c r="A832" s="16" t="s">
        <v>2679</v>
      </c>
    </row>
    <row r="833" spans="1:1">
      <c r="A833" s="16" t="s">
        <v>2680</v>
      </c>
    </row>
    <row r="834" spans="1:1">
      <c r="A834" s="16" t="s">
        <v>2681</v>
      </c>
    </row>
    <row r="835" spans="1:1">
      <c r="A835" s="16" t="s">
        <v>2064</v>
      </c>
    </row>
    <row r="836" spans="1:1">
      <c r="A836" s="16" t="s">
        <v>1193</v>
      </c>
    </row>
    <row r="837" spans="1:1">
      <c r="A837" s="16" t="s">
        <v>2682</v>
      </c>
    </row>
    <row r="838" spans="1:1">
      <c r="A838" s="16" t="s">
        <v>2683</v>
      </c>
    </row>
    <row r="839" spans="1:1">
      <c r="A839" s="16" t="s">
        <v>2684</v>
      </c>
    </row>
    <row r="840" spans="1:1">
      <c r="A840" s="16" t="s">
        <v>821</v>
      </c>
    </row>
    <row r="841" spans="1:1">
      <c r="A841" s="16" t="s">
        <v>2685</v>
      </c>
    </row>
    <row r="842" spans="1:1">
      <c r="A842" s="16" t="s">
        <v>2686</v>
      </c>
    </row>
    <row r="843" spans="1:1">
      <c r="A843" s="16" t="s">
        <v>2687</v>
      </c>
    </row>
    <row r="844" spans="1:1">
      <c r="A844" s="16" t="s">
        <v>827</v>
      </c>
    </row>
    <row r="845" spans="1:1">
      <c r="A845" s="16" t="s">
        <v>2688</v>
      </c>
    </row>
    <row r="846" spans="1:1">
      <c r="A846" s="16" t="s">
        <v>828</v>
      </c>
    </row>
    <row r="847" spans="1:1">
      <c r="A847" s="16" t="s">
        <v>831</v>
      </c>
    </row>
    <row r="848" spans="1:1">
      <c r="A848" s="16" t="s">
        <v>832</v>
      </c>
    </row>
    <row r="849" spans="1:1">
      <c r="A849" s="16" t="s">
        <v>2689</v>
      </c>
    </row>
    <row r="850" spans="1:1">
      <c r="A850" s="16" t="s">
        <v>2076</v>
      </c>
    </row>
    <row r="851" spans="1:1">
      <c r="A851" s="16" t="s">
        <v>1200</v>
      </c>
    </row>
    <row r="852" spans="1:1">
      <c r="A852" s="16" t="s">
        <v>2077</v>
      </c>
    </row>
    <row r="853" spans="1:1">
      <c r="A853" s="16" t="s">
        <v>2690</v>
      </c>
    </row>
    <row r="854" spans="1:1">
      <c r="A854" s="16" t="s">
        <v>2691</v>
      </c>
    </row>
    <row r="855" spans="1:1">
      <c r="A855" s="16" t="s">
        <v>2692</v>
      </c>
    </row>
    <row r="856" spans="1:1">
      <c r="A856" s="16" t="s">
        <v>2693</v>
      </c>
    </row>
    <row r="857" spans="1:1">
      <c r="A857" s="16" t="s">
        <v>2694</v>
      </c>
    </row>
    <row r="858" spans="1:1">
      <c r="A858" s="16" t="s">
        <v>2695</v>
      </c>
    </row>
    <row r="859" spans="1:1">
      <c r="A859" s="16" t="s">
        <v>2696</v>
      </c>
    </row>
    <row r="860" spans="1:1">
      <c r="A860" s="16" t="s">
        <v>2697</v>
      </c>
    </row>
    <row r="861" spans="1:1">
      <c r="A861" s="16" t="s">
        <v>2698</v>
      </c>
    </row>
    <row r="862" spans="1:1">
      <c r="A862" s="16" t="s">
        <v>2699</v>
      </c>
    </row>
    <row r="863" spans="1:1">
      <c r="A863" s="16" t="s">
        <v>2700</v>
      </c>
    </row>
    <row r="864" spans="1:1">
      <c r="A864" s="16" t="s">
        <v>838</v>
      </c>
    </row>
    <row r="865" spans="1:5">
      <c r="A865" s="16" t="s">
        <v>2701</v>
      </c>
    </row>
    <row r="866" spans="1:5">
      <c r="A866" s="16" t="s">
        <v>2702</v>
      </c>
    </row>
    <row r="867" spans="1:5">
      <c r="A867" s="16" t="s">
        <v>2703</v>
      </c>
    </row>
    <row r="871" spans="1:5">
      <c r="A871" s="16" t="s">
        <v>1444</v>
      </c>
    </row>
    <row r="872" spans="1:5">
      <c r="A872" s="16" t="s">
        <v>1454</v>
      </c>
    </row>
    <row r="873" spans="1:5">
      <c r="A873" s="16" t="s">
        <v>1409</v>
      </c>
      <c r="B873" s="16" t="s">
        <v>2108</v>
      </c>
      <c r="D873" s="92" t="s">
        <v>2704</v>
      </c>
      <c r="E873" s="16" t="s">
        <v>2</v>
      </c>
    </row>
    <row r="874" spans="1:5">
      <c r="A874" s="16" t="s">
        <v>1312</v>
      </c>
      <c r="B874" s="16">
        <v>1</v>
      </c>
      <c r="D874" s="16">
        <v>0</v>
      </c>
    </row>
    <row r="875" spans="1:5">
      <c r="A875" s="16" t="s">
        <v>1340</v>
      </c>
      <c r="B875" s="16">
        <v>1</v>
      </c>
      <c r="D875" s="16">
        <v>0</v>
      </c>
    </row>
    <row r="876" spans="1:5">
      <c r="A876" s="16" t="s">
        <v>1289</v>
      </c>
      <c r="B876" s="16">
        <v>1</v>
      </c>
      <c r="D876" s="92">
        <v>0</v>
      </c>
    </row>
    <row r="877" spans="1:5">
      <c r="A877" s="16" t="s">
        <v>1375</v>
      </c>
      <c r="B877" s="16">
        <v>1</v>
      </c>
      <c r="D877" s="92">
        <v>0</v>
      </c>
    </row>
    <row r="878" spans="1:5">
      <c r="A878" s="16" t="s">
        <v>1348</v>
      </c>
      <c r="B878" s="16">
        <v>1</v>
      </c>
      <c r="D878" s="92">
        <v>0</v>
      </c>
    </row>
    <row r="879" spans="1:5">
      <c r="A879" s="16" t="s">
        <v>1255</v>
      </c>
      <c r="B879" s="16">
        <v>1</v>
      </c>
      <c r="D879" s="92">
        <v>0</v>
      </c>
    </row>
    <row r="880" spans="1:5">
      <c r="A880" s="16" t="s">
        <v>1285</v>
      </c>
      <c r="B880" s="16">
        <v>1</v>
      </c>
      <c r="D880" s="92">
        <v>0</v>
      </c>
    </row>
    <row r="881" spans="1:5">
      <c r="A881" s="16" t="s">
        <v>1381</v>
      </c>
      <c r="B881" s="16">
        <v>1</v>
      </c>
      <c r="D881" s="92">
        <v>0</v>
      </c>
    </row>
    <row r="882" spans="1:5">
      <c r="A882" s="16" t="s">
        <v>1369</v>
      </c>
      <c r="B882" s="16">
        <v>1</v>
      </c>
      <c r="D882" s="92">
        <v>0</v>
      </c>
    </row>
    <row r="883" spans="1:5">
      <c r="A883" s="16" t="s">
        <v>1256</v>
      </c>
      <c r="B883" s="16">
        <v>1</v>
      </c>
      <c r="D883" s="92">
        <v>0</v>
      </c>
      <c r="E883" s="16" t="s">
        <v>2719</v>
      </c>
    </row>
    <row r="884" spans="1:5">
      <c r="A884" s="16" t="s">
        <v>1349</v>
      </c>
      <c r="B884" s="16">
        <v>1</v>
      </c>
      <c r="D884" s="92">
        <v>0</v>
      </c>
    </row>
    <row r="885" spans="1:5">
      <c r="A885" s="16" t="s">
        <v>1370</v>
      </c>
      <c r="B885" s="16">
        <v>1</v>
      </c>
      <c r="D885" s="92">
        <v>0</v>
      </c>
    </row>
    <row r="886" spans="1:5">
      <c r="A886" s="16" t="s">
        <v>1383</v>
      </c>
      <c r="B886" s="16">
        <v>1</v>
      </c>
      <c r="D886" s="92">
        <v>0</v>
      </c>
    </row>
    <row r="887" spans="1:5">
      <c r="A887" s="16" t="s">
        <v>1394</v>
      </c>
      <c r="B887" s="16">
        <v>1</v>
      </c>
      <c r="D887" s="92">
        <v>0</v>
      </c>
    </row>
    <row r="888" spans="1:5">
      <c r="A888" s="16" t="s">
        <v>1362</v>
      </c>
      <c r="B888" s="16">
        <v>1</v>
      </c>
      <c r="D888" s="92">
        <v>0</v>
      </c>
    </row>
    <row r="889" spans="1:5">
      <c r="A889" s="16" t="s">
        <v>1313</v>
      </c>
      <c r="B889" s="16">
        <v>1</v>
      </c>
      <c r="D889" s="92">
        <v>0</v>
      </c>
    </row>
    <row r="890" spans="1:5">
      <c r="A890" s="16" t="s">
        <v>1395</v>
      </c>
      <c r="B890" s="16">
        <v>1</v>
      </c>
      <c r="D890" s="92">
        <v>0</v>
      </c>
    </row>
    <row r="891" spans="1:5">
      <c r="A891" s="16" t="s">
        <v>1295</v>
      </c>
      <c r="B891" s="16">
        <v>1</v>
      </c>
      <c r="D891" s="92">
        <v>0</v>
      </c>
    </row>
    <row r="892" spans="1:5">
      <c r="A892" s="16" t="s">
        <v>1343</v>
      </c>
      <c r="B892" s="16">
        <v>1</v>
      </c>
      <c r="D892" s="92">
        <v>0</v>
      </c>
    </row>
    <row r="893" spans="1:5">
      <c r="A893" s="16" t="s">
        <v>1258</v>
      </c>
      <c r="B893" s="16">
        <v>1</v>
      </c>
      <c r="D893" s="92">
        <v>0</v>
      </c>
    </row>
    <row r="894" spans="1:5">
      <c r="A894" s="16" t="s">
        <v>1253</v>
      </c>
      <c r="B894" s="16">
        <v>1</v>
      </c>
      <c r="D894" s="92">
        <v>0</v>
      </c>
    </row>
    <row r="895" spans="1:5">
      <c r="A895" s="16" t="s">
        <v>1371</v>
      </c>
      <c r="B895" s="16">
        <v>1</v>
      </c>
      <c r="D895" s="92">
        <v>0</v>
      </c>
    </row>
    <row r="896" spans="1:5">
      <c r="A896" s="16" t="s">
        <v>1396</v>
      </c>
      <c r="B896" s="16">
        <v>1</v>
      </c>
      <c r="D896" s="92">
        <v>0</v>
      </c>
    </row>
    <row r="897" spans="1:4">
      <c r="A897" s="16" t="s">
        <v>1372</v>
      </c>
      <c r="B897" s="16">
        <v>1</v>
      </c>
      <c r="D897" s="92">
        <v>0</v>
      </c>
    </row>
    <row r="898" spans="1:4">
      <c r="A898" s="16" t="s">
        <v>1365</v>
      </c>
      <c r="B898" s="16">
        <v>1</v>
      </c>
      <c r="D898" s="92">
        <v>0</v>
      </c>
    </row>
    <row r="899" spans="1:4">
      <c r="A899" s="16" t="s">
        <v>1376</v>
      </c>
      <c r="B899" s="16">
        <v>1</v>
      </c>
      <c r="D899" s="92">
        <v>0</v>
      </c>
    </row>
    <row r="900" spans="1:4">
      <c r="A900" s="16" t="s">
        <v>1373</v>
      </c>
      <c r="D900" s="92">
        <v>0</v>
      </c>
    </row>
    <row r="901" spans="1:4">
      <c r="A901" s="16" t="s">
        <v>1397</v>
      </c>
      <c r="B901" s="16">
        <v>1</v>
      </c>
      <c r="D901" s="92">
        <v>0</v>
      </c>
    </row>
    <row r="902" spans="1:4">
      <c r="A902" s="16" t="s">
        <v>1309</v>
      </c>
      <c r="B902" s="16">
        <v>1</v>
      </c>
      <c r="D902" s="92">
        <v>0</v>
      </c>
    </row>
    <row r="903" spans="1:4">
      <c r="A903" s="16" t="s">
        <v>1379</v>
      </c>
      <c r="B903" s="16">
        <v>1</v>
      </c>
      <c r="D903" s="92">
        <v>0</v>
      </c>
    </row>
    <row r="904" spans="1:4">
      <c r="A904" s="16" t="s">
        <v>1350</v>
      </c>
      <c r="B904" s="16">
        <v>1</v>
      </c>
      <c r="D904" s="92">
        <v>0</v>
      </c>
    </row>
    <row r="905" spans="1:4">
      <c r="A905" s="16" t="s">
        <v>1334</v>
      </c>
      <c r="B905" s="16">
        <v>1</v>
      </c>
      <c r="D905" s="92">
        <v>0</v>
      </c>
    </row>
    <row r="906" spans="1:4">
      <c r="A906" s="16" t="s">
        <v>1398</v>
      </c>
      <c r="B906" s="16">
        <v>1</v>
      </c>
      <c r="D906" s="92">
        <v>0</v>
      </c>
    </row>
    <row r="907" spans="1:4">
      <c r="A907" s="16" t="s">
        <v>1363</v>
      </c>
      <c r="B907" s="92">
        <v>1</v>
      </c>
      <c r="D907" s="92">
        <v>0</v>
      </c>
    </row>
    <row r="908" spans="1:4">
      <c r="A908" s="16" t="s">
        <v>1259</v>
      </c>
      <c r="B908" s="16">
        <v>1</v>
      </c>
      <c r="D908" s="92">
        <v>0</v>
      </c>
    </row>
    <row r="909" spans="1:4">
      <c r="A909" s="16" t="s">
        <v>1374</v>
      </c>
      <c r="B909" s="16">
        <v>1</v>
      </c>
      <c r="D909" s="92">
        <v>0</v>
      </c>
    </row>
    <row r="910" spans="1:4">
      <c r="A910" s="16" t="s">
        <v>1260</v>
      </c>
      <c r="B910" s="16">
        <v>1</v>
      </c>
      <c r="D910" s="92">
        <v>0</v>
      </c>
    </row>
    <row r="911" spans="1:4">
      <c r="A911" s="16" t="s">
        <v>1250</v>
      </c>
      <c r="B911" s="16">
        <v>1</v>
      </c>
      <c r="D911" s="92">
        <v>0</v>
      </c>
    </row>
    <row r="912" spans="1:4">
      <c r="A912" s="16" t="s">
        <v>1351</v>
      </c>
      <c r="B912" s="16">
        <v>1</v>
      </c>
      <c r="D912" s="92">
        <v>0</v>
      </c>
    </row>
    <row r="913" spans="1:4">
      <c r="A913" s="16" t="s">
        <v>1286</v>
      </c>
      <c r="B913" s="16">
        <v>1</v>
      </c>
      <c r="D913" s="92">
        <v>0</v>
      </c>
    </row>
    <row r="914" spans="1:4">
      <c r="A914" s="16" t="s">
        <v>1367</v>
      </c>
      <c r="B914" s="16">
        <v>1</v>
      </c>
      <c r="D914" s="92">
        <v>0</v>
      </c>
    </row>
    <row r="915" spans="1:4">
      <c r="A915" s="16" t="s">
        <v>1352</v>
      </c>
      <c r="B915" s="16">
        <v>1</v>
      </c>
      <c r="D915" s="92">
        <v>0</v>
      </c>
    </row>
    <row r="916" spans="1:4">
      <c r="A916" s="16" t="s">
        <v>1401</v>
      </c>
      <c r="B916" s="16">
        <v>1</v>
      </c>
      <c r="D916" s="92">
        <v>0</v>
      </c>
    </row>
    <row r="917" spans="1:4">
      <c r="A917" s="16" t="s">
        <v>97</v>
      </c>
      <c r="B917" s="16">
        <v>1</v>
      </c>
      <c r="D917" s="92">
        <v>0</v>
      </c>
    </row>
    <row r="918" spans="1:4">
      <c r="A918" s="16" t="s">
        <v>1378</v>
      </c>
      <c r="B918" s="16">
        <v>1</v>
      </c>
      <c r="D918" s="92">
        <v>0</v>
      </c>
    </row>
    <row r="919" spans="1:4">
      <c r="A919" s="16" t="s">
        <v>1296</v>
      </c>
      <c r="B919" s="16">
        <v>1</v>
      </c>
      <c r="D919" s="92">
        <v>0</v>
      </c>
    </row>
    <row r="920" spans="1:4">
      <c r="A920" s="16" t="s">
        <v>1403</v>
      </c>
      <c r="B920" s="16">
        <v>1</v>
      </c>
      <c r="D920" s="92">
        <v>0</v>
      </c>
    </row>
    <row r="921" spans="1:4">
      <c r="A921" s="16" t="s">
        <v>1385</v>
      </c>
      <c r="D921" s="92">
        <v>0</v>
      </c>
    </row>
    <row r="922" spans="1:4">
      <c r="A922" s="16" t="s">
        <v>1297</v>
      </c>
      <c r="B922" s="16">
        <v>1</v>
      </c>
      <c r="D922" s="92">
        <v>0</v>
      </c>
    </row>
    <row r="923" spans="1:4">
      <c r="A923" s="16" t="s">
        <v>1279</v>
      </c>
      <c r="B923" s="16">
        <v>1</v>
      </c>
      <c r="D923" s="92">
        <v>0</v>
      </c>
    </row>
    <row r="924" spans="1:4">
      <c r="A924" s="16" t="s">
        <v>1335</v>
      </c>
      <c r="B924" s="16">
        <v>1</v>
      </c>
      <c r="D924" s="92">
        <v>0</v>
      </c>
    </row>
    <row r="925" spans="1:4">
      <c r="A925" s="16" t="s">
        <v>1329</v>
      </c>
      <c r="B925" s="16">
        <v>1</v>
      </c>
      <c r="D925" s="92">
        <v>0</v>
      </c>
    </row>
    <row r="926" spans="1:4">
      <c r="A926" s="16" t="s">
        <v>1298</v>
      </c>
      <c r="B926" s="16">
        <v>1</v>
      </c>
      <c r="D926" s="92">
        <v>0</v>
      </c>
    </row>
    <row r="927" spans="1:4">
      <c r="A927" s="16" t="s">
        <v>1386</v>
      </c>
      <c r="B927" s="16">
        <v>1</v>
      </c>
      <c r="D927" s="92">
        <v>0</v>
      </c>
    </row>
    <row r="928" spans="1:4">
      <c r="A928" s="16" t="s">
        <v>1337</v>
      </c>
      <c r="B928" s="16">
        <v>1</v>
      </c>
      <c r="D928" s="92">
        <v>0</v>
      </c>
    </row>
    <row r="929" spans="1:4">
      <c r="A929" s="16" t="s">
        <v>1345</v>
      </c>
      <c r="B929" s="16">
        <v>1</v>
      </c>
      <c r="D929" s="92">
        <v>0</v>
      </c>
    </row>
    <row r="930" spans="1:4">
      <c r="A930" s="16" t="s">
        <v>1332</v>
      </c>
      <c r="B930" s="16">
        <v>1</v>
      </c>
      <c r="D930" s="92">
        <v>0</v>
      </c>
    </row>
    <row r="931" spans="1:4">
      <c r="A931" s="16" t="s">
        <v>1333</v>
      </c>
      <c r="B931" s="16">
        <v>1</v>
      </c>
      <c r="D931" s="92">
        <v>0</v>
      </c>
    </row>
    <row r="932" spans="1:4">
      <c r="A932" s="16" t="s">
        <v>1299</v>
      </c>
      <c r="B932" s="16">
        <v>1</v>
      </c>
      <c r="D932" s="92">
        <v>0</v>
      </c>
    </row>
    <row r="933" spans="1:4">
      <c r="A933" s="16" t="s">
        <v>1265</v>
      </c>
      <c r="B933" s="16">
        <v>1</v>
      </c>
      <c r="D933" s="92">
        <v>0</v>
      </c>
    </row>
    <row r="934" spans="1:4">
      <c r="A934" s="16" t="s">
        <v>1300</v>
      </c>
      <c r="B934" s="16">
        <v>1</v>
      </c>
      <c r="D934" s="92">
        <v>0</v>
      </c>
    </row>
    <row r="935" spans="1:4">
      <c r="A935" s="16" t="s">
        <v>1330</v>
      </c>
      <c r="B935" s="16">
        <v>1</v>
      </c>
      <c r="D935" s="92">
        <v>0</v>
      </c>
    </row>
    <row r="936" spans="1:4">
      <c r="A936" s="16" t="s">
        <v>1346</v>
      </c>
      <c r="B936" s="16">
        <v>1</v>
      </c>
      <c r="D936" s="92">
        <v>0</v>
      </c>
    </row>
    <row r="937" spans="1:4">
      <c r="A937" s="16" t="s">
        <v>1387</v>
      </c>
      <c r="B937" s="16">
        <v>1</v>
      </c>
      <c r="D937" s="92">
        <v>0</v>
      </c>
    </row>
    <row r="938" spans="1:4">
      <c r="A938" s="16" t="s">
        <v>1353</v>
      </c>
      <c r="B938" s="16">
        <v>1</v>
      </c>
      <c r="D938" s="92">
        <v>0</v>
      </c>
    </row>
    <row r="939" spans="1:4">
      <c r="A939" s="16" t="s">
        <v>1244</v>
      </c>
      <c r="B939" s="16">
        <v>1</v>
      </c>
      <c r="D939" s="92">
        <v>0</v>
      </c>
    </row>
    <row r="940" spans="1:4">
      <c r="A940" s="16" t="s">
        <v>1301</v>
      </c>
      <c r="B940" s="16">
        <v>1</v>
      </c>
      <c r="D940" s="92">
        <v>0</v>
      </c>
    </row>
    <row r="941" spans="1:4">
      <c r="A941" s="16" t="s">
        <v>1310</v>
      </c>
      <c r="B941" s="16">
        <v>1</v>
      </c>
      <c r="D941" s="92">
        <v>0</v>
      </c>
    </row>
    <row r="942" spans="1:4">
      <c r="A942" s="16" t="s">
        <v>1354</v>
      </c>
      <c r="B942" s="16">
        <v>1</v>
      </c>
      <c r="D942" s="92">
        <v>0</v>
      </c>
    </row>
    <row r="943" spans="1:4">
      <c r="A943" s="16" t="s">
        <v>1342</v>
      </c>
      <c r="B943" s="16">
        <v>1</v>
      </c>
      <c r="D943" s="92">
        <v>0</v>
      </c>
    </row>
    <row r="944" spans="1:4">
      <c r="A944" s="16" t="s">
        <v>1347</v>
      </c>
      <c r="B944" s="16">
        <v>1</v>
      </c>
      <c r="D944" s="92">
        <v>0</v>
      </c>
    </row>
    <row r="945" spans="1:5">
      <c r="A945" s="16" t="s">
        <v>1308</v>
      </c>
      <c r="B945" s="16">
        <v>1</v>
      </c>
      <c r="D945" s="92">
        <v>0</v>
      </c>
    </row>
    <row r="946" spans="1:5">
      <c r="A946" s="16" t="s">
        <v>1407</v>
      </c>
      <c r="B946" s="16">
        <v>1</v>
      </c>
      <c r="D946" s="92">
        <v>0</v>
      </c>
    </row>
    <row r="947" spans="1:5">
      <c r="A947" s="16" t="s">
        <v>1314</v>
      </c>
      <c r="B947" s="16">
        <v>1</v>
      </c>
      <c r="D947" s="92">
        <v>0</v>
      </c>
    </row>
    <row r="948" spans="1:5">
      <c r="A948" s="16" t="s">
        <v>1331</v>
      </c>
      <c r="B948" s="16">
        <v>1</v>
      </c>
      <c r="D948" s="92">
        <v>0</v>
      </c>
    </row>
    <row r="949" spans="1:5">
      <c r="A949" s="16" t="s">
        <v>1270</v>
      </c>
      <c r="B949" s="16">
        <v>1</v>
      </c>
      <c r="D949" s="92">
        <v>0</v>
      </c>
    </row>
    <row r="950" spans="1:5">
      <c r="A950" s="16" t="s">
        <v>1406</v>
      </c>
      <c r="B950" s="16">
        <v>1</v>
      </c>
      <c r="D950" s="92">
        <v>0</v>
      </c>
    </row>
    <row r="951" spans="1:5">
      <c r="A951" s="16" t="s">
        <v>1315</v>
      </c>
      <c r="B951" s="16">
        <v>1</v>
      </c>
      <c r="D951" s="92">
        <v>0</v>
      </c>
    </row>
    <row r="952" spans="1:5">
      <c r="A952" s="16" t="s">
        <v>1316</v>
      </c>
      <c r="B952" s="16">
        <v>1</v>
      </c>
      <c r="D952" s="92">
        <v>0</v>
      </c>
      <c r="E952" s="92"/>
    </row>
    <row r="953" spans="1:5">
      <c r="A953" s="16" t="s">
        <v>1302</v>
      </c>
      <c r="B953" s="16">
        <v>1</v>
      </c>
      <c r="D953" s="92">
        <v>0</v>
      </c>
    </row>
    <row r="954" spans="1:5">
      <c r="A954" s="16" t="s">
        <v>1311</v>
      </c>
      <c r="B954" s="16">
        <v>1</v>
      </c>
      <c r="D954" s="92">
        <v>0</v>
      </c>
      <c r="E954" s="92"/>
    </row>
    <row r="955" spans="1:5">
      <c r="A955" s="16" t="s">
        <v>1268</v>
      </c>
      <c r="B955" s="16">
        <v>1</v>
      </c>
      <c r="D955" s="92">
        <v>0</v>
      </c>
    </row>
    <row r="956" spans="1:5">
      <c r="A956" s="16" t="s">
        <v>1269</v>
      </c>
      <c r="B956" s="16">
        <v>1</v>
      </c>
      <c r="D956" s="92">
        <v>0</v>
      </c>
      <c r="E956" s="92" t="s">
        <v>2714</v>
      </c>
    </row>
    <row r="957" spans="1:5">
      <c r="A957" s="16" t="s">
        <v>1338</v>
      </c>
      <c r="B957" s="16">
        <v>1</v>
      </c>
      <c r="D957" s="92">
        <v>0</v>
      </c>
    </row>
    <row r="958" spans="1:5">
      <c r="A958" s="16" t="s">
        <v>1303</v>
      </c>
      <c r="B958" s="16">
        <v>1</v>
      </c>
      <c r="D958" s="92">
        <v>0</v>
      </c>
      <c r="E958" s="92"/>
    </row>
    <row r="959" spans="1:5">
      <c r="A959" s="16" t="s">
        <v>1355</v>
      </c>
      <c r="B959" s="16">
        <v>1</v>
      </c>
      <c r="D959" s="92">
        <v>0</v>
      </c>
    </row>
    <row r="960" spans="1:5">
      <c r="A960" s="16" t="s">
        <v>1325</v>
      </c>
      <c r="B960" s="16">
        <v>1</v>
      </c>
      <c r="D960" s="92">
        <v>0</v>
      </c>
    </row>
    <row r="961" spans="1:5">
      <c r="A961" s="16" t="s">
        <v>1388</v>
      </c>
      <c r="D961" s="92">
        <v>0</v>
      </c>
    </row>
    <row r="962" spans="1:5">
      <c r="A962" s="16" t="s">
        <v>1357</v>
      </c>
      <c r="B962" s="16">
        <v>1</v>
      </c>
      <c r="D962" s="92">
        <v>0</v>
      </c>
    </row>
    <row r="963" spans="1:5">
      <c r="A963" s="16" t="s">
        <v>1271</v>
      </c>
      <c r="B963" s="16">
        <v>1</v>
      </c>
      <c r="D963" s="92">
        <v>0</v>
      </c>
      <c r="E963" s="92"/>
    </row>
    <row r="964" spans="1:5">
      <c r="A964" s="16" t="s">
        <v>1304</v>
      </c>
      <c r="B964" s="16">
        <v>1</v>
      </c>
      <c r="D964" s="92">
        <v>0</v>
      </c>
    </row>
    <row r="965" spans="1:5">
      <c r="A965" s="16" t="s">
        <v>1344</v>
      </c>
      <c r="B965" s="16">
        <v>1</v>
      </c>
      <c r="D965" s="92">
        <v>0</v>
      </c>
    </row>
    <row r="966" spans="1:5">
      <c r="A966" s="16" t="s">
        <v>1273</v>
      </c>
      <c r="B966" s="16">
        <v>1</v>
      </c>
      <c r="D966" s="92">
        <v>0</v>
      </c>
    </row>
    <row r="967" spans="1:5">
      <c r="A967" s="16" t="s">
        <v>1293</v>
      </c>
      <c r="B967" s="16">
        <v>1</v>
      </c>
      <c r="D967" s="92">
        <v>0</v>
      </c>
    </row>
    <row r="968" spans="1:5">
      <c r="A968" s="16" t="s">
        <v>1317</v>
      </c>
      <c r="B968" s="16" t="s">
        <v>11</v>
      </c>
      <c r="D968" s="92">
        <v>0</v>
      </c>
    </row>
    <row r="969" spans="1:5">
      <c r="A969" s="16" t="s">
        <v>1356</v>
      </c>
      <c r="B969" s="16">
        <v>1</v>
      </c>
      <c r="D969" s="92">
        <v>0</v>
      </c>
    </row>
    <row r="970" spans="1:5">
      <c r="A970" s="16" t="s">
        <v>1382</v>
      </c>
      <c r="B970" s="16">
        <v>1</v>
      </c>
      <c r="D970" s="92">
        <v>0</v>
      </c>
    </row>
    <row r="971" spans="1:5">
      <c r="A971" s="16" t="s">
        <v>1294</v>
      </c>
      <c r="B971" s="16">
        <v>1</v>
      </c>
      <c r="D971" s="92">
        <v>0</v>
      </c>
    </row>
    <row r="972" spans="1:5">
      <c r="A972" s="16" t="s">
        <v>1341</v>
      </c>
      <c r="B972" s="16">
        <v>1</v>
      </c>
      <c r="D972" s="92">
        <v>0</v>
      </c>
    </row>
    <row r="973" spans="1:5">
      <c r="A973" s="16" t="s">
        <v>1389</v>
      </c>
      <c r="B973" s="16">
        <v>1</v>
      </c>
      <c r="D973" s="92">
        <v>0</v>
      </c>
    </row>
    <row r="974" spans="1:5">
      <c r="A974" s="16" t="s">
        <v>1280</v>
      </c>
      <c r="B974" s="16">
        <v>1</v>
      </c>
      <c r="D974" s="92">
        <v>0</v>
      </c>
    </row>
    <row r="975" spans="1:5">
      <c r="A975" s="16" t="s">
        <v>1380</v>
      </c>
      <c r="B975" s="16">
        <v>1</v>
      </c>
      <c r="D975" s="92">
        <v>0</v>
      </c>
    </row>
    <row r="976" spans="1:5">
      <c r="A976" s="16" t="s">
        <v>1305</v>
      </c>
      <c r="B976" s="16">
        <v>1</v>
      </c>
      <c r="D976" s="92">
        <v>0</v>
      </c>
    </row>
    <row r="977" spans="1:5">
      <c r="A977" s="16" t="s">
        <v>1364</v>
      </c>
      <c r="B977" s="16">
        <v>1</v>
      </c>
      <c r="D977" s="92">
        <v>0</v>
      </c>
    </row>
    <row r="978" spans="1:5">
      <c r="A978" s="16" t="s">
        <v>1361</v>
      </c>
      <c r="B978" s="16" t="s">
        <v>11</v>
      </c>
      <c r="D978" s="92">
        <v>0</v>
      </c>
    </row>
    <row r="979" spans="1:5">
      <c r="A979" s="16" t="s">
        <v>1339</v>
      </c>
      <c r="B979" s="16">
        <v>1</v>
      </c>
      <c r="D979" s="92">
        <v>0</v>
      </c>
    </row>
    <row r="980" spans="1:5">
      <c r="A980" s="16" t="s">
        <v>1249</v>
      </c>
      <c r="B980" s="16">
        <v>1</v>
      </c>
      <c r="D980" s="92">
        <v>0</v>
      </c>
    </row>
    <row r="981" spans="1:5">
      <c r="A981" s="16" t="s">
        <v>1276</v>
      </c>
      <c r="B981" s="16">
        <v>1</v>
      </c>
      <c r="D981" s="92">
        <v>0</v>
      </c>
    </row>
    <row r="982" spans="1:5">
      <c r="A982" s="16" t="s">
        <v>1377</v>
      </c>
      <c r="B982" s="16">
        <v>1</v>
      </c>
      <c r="D982" s="92">
        <v>0</v>
      </c>
    </row>
    <row r="983" spans="1:5">
      <c r="A983" s="16" t="s">
        <v>1288</v>
      </c>
      <c r="B983" s="16">
        <v>1</v>
      </c>
      <c r="D983" s="92">
        <v>0</v>
      </c>
    </row>
    <row r="984" spans="1:5">
      <c r="A984" s="16" t="s">
        <v>1391</v>
      </c>
      <c r="B984" s="16">
        <v>1</v>
      </c>
      <c r="D984" s="92">
        <v>0</v>
      </c>
    </row>
    <row r="985" spans="1:5">
      <c r="A985" s="16" t="s">
        <v>128</v>
      </c>
      <c r="B985" s="16">
        <v>1</v>
      </c>
      <c r="D985" s="92">
        <v>0</v>
      </c>
      <c r="E985" s="92"/>
    </row>
    <row r="986" spans="1:5">
      <c r="A986" s="16" t="s">
        <v>1306</v>
      </c>
      <c r="B986" s="16">
        <v>1</v>
      </c>
      <c r="D986" s="92">
        <v>0</v>
      </c>
    </row>
    <row r="987" spans="1:5">
      <c r="A987" s="16" t="s">
        <v>1358</v>
      </c>
      <c r="B987" s="16">
        <v>1</v>
      </c>
      <c r="D987" s="92">
        <v>0</v>
      </c>
    </row>
    <row r="988" spans="1:5">
      <c r="A988" s="16" t="s">
        <v>1307</v>
      </c>
      <c r="B988" s="16">
        <v>1</v>
      </c>
      <c r="D988" s="92">
        <v>0</v>
      </c>
      <c r="E988" s="92"/>
    </row>
    <row r="989" spans="1:5">
      <c r="B989" s="16">
        <v>1</v>
      </c>
      <c r="D989" s="92">
        <v>0</v>
      </c>
    </row>
    <row r="990" spans="1:5">
      <c r="A990" s="16" t="s">
        <v>1277</v>
      </c>
      <c r="B990" s="16">
        <v>1</v>
      </c>
      <c r="D990" s="92">
        <v>0</v>
      </c>
    </row>
    <row r="991" spans="1:5">
      <c r="A991" s="16" t="b">
        <v>1</v>
      </c>
      <c r="B991" s="16">
        <v>1</v>
      </c>
      <c r="D991" s="92">
        <v>0</v>
      </c>
    </row>
    <row r="992" spans="1:5">
      <c r="A992" s="16" t="s">
        <v>1254</v>
      </c>
      <c r="B992" s="16">
        <v>1</v>
      </c>
      <c r="D992" s="92">
        <v>0</v>
      </c>
      <c r="E992" s="16" t="s">
        <v>2716</v>
      </c>
    </row>
    <row r="993" spans="1:5">
      <c r="A993" s="16" t="s">
        <v>1290</v>
      </c>
      <c r="B993" s="16">
        <v>1</v>
      </c>
      <c r="D993" s="92">
        <v>0</v>
      </c>
    </row>
    <row r="994" spans="1:5">
      <c r="A994" s="16" t="s">
        <v>1264</v>
      </c>
      <c r="B994" s="16">
        <v>1</v>
      </c>
      <c r="D994" s="92">
        <v>0</v>
      </c>
    </row>
    <row r="995" spans="1:5">
      <c r="A995" s="16" t="s">
        <v>1242</v>
      </c>
      <c r="B995" s="16">
        <v>1</v>
      </c>
      <c r="D995" s="92">
        <v>0</v>
      </c>
    </row>
    <row r="996" spans="1:5">
      <c r="A996" s="16" t="s">
        <v>1291</v>
      </c>
      <c r="B996" s="16">
        <v>1</v>
      </c>
      <c r="D996" s="92">
        <v>0</v>
      </c>
    </row>
    <row r="997" spans="1:5">
      <c r="A997" s="16" t="s">
        <v>1283</v>
      </c>
      <c r="B997" s="16">
        <v>1</v>
      </c>
      <c r="D997" s="92">
        <v>0</v>
      </c>
      <c r="E997" s="16" t="s">
        <v>2717</v>
      </c>
    </row>
    <row r="998" spans="1:5">
      <c r="A998" s="16" t="s">
        <v>1287</v>
      </c>
      <c r="B998" s="16">
        <v>1</v>
      </c>
      <c r="D998" s="92">
        <v>0</v>
      </c>
    </row>
    <row r="999" spans="1:5">
      <c r="A999" s="16" t="s">
        <v>1405</v>
      </c>
      <c r="B999" s="16">
        <v>1</v>
      </c>
      <c r="D999" s="92">
        <v>0</v>
      </c>
    </row>
    <row r="1000" spans="1:5">
      <c r="A1000" s="16" t="s">
        <v>1360</v>
      </c>
      <c r="B1000" s="16">
        <v>1</v>
      </c>
      <c r="D1000" s="92">
        <v>0</v>
      </c>
    </row>
    <row r="1001" spans="1:5">
      <c r="A1001" s="16" t="s">
        <v>89</v>
      </c>
      <c r="B1001" s="16">
        <v>1</v>
      </c>
      <c r="D1001" s="92">
        <v>0</v>
      </c>
    </row>
    <row r="1002" spans="1:5">
      <c r="A1002" s="16" t="s">
        <v>1292</v>
      </c>
      <c r="D1002" s="92">
        <v>0</v>
      </c>
    </row>
    <row r="1003" spans="1:5">
      <c r="A1003" s="16" t="s">
        <v>1272</v>
      </c>
      <c r="B1003" s="16">
        <v>1</v>
      </c>
      <c r="D1003" s="92">
        <v>0</v>
      </c>
      <c r="E1003" s="16" t="s">
        <v>2718</v>
      </c>
    </row>
    <row r="1004" spans="1:5">
      <c r="A1004" s="16" t="s">
        <v>1390</v>
      </c>
      <c r="B1004" s="16">
        <v>1</v>
      </c>
      <c r="D1004" s="92">
        <v>0</v>
      </c>
      <c r="E1004" s="92"/>
    </row>
    <row r="1005" spans="1:5">
      <c r="A1005" s="16" t="s">
        <v>93</v>
      </c>
      <c r="B1005" s="16">
        <v>1</v>
      </c>
      <c r="D1005" s="92">
        <v>0</v>
      </c>
      <c r="E1005" s="92"/>
    </row>
    <row r="1006" spans="1:5">
      <c r="A1006" s="16" t="s">
        <v>1278</v>
      </c>
      <c r="B1006" s="16">
        <v>1</v>
      </c>
      <c r="D1006" s="92">
        <v>0</v>
      </c>
    </row>
    <row r="1007" spans="1:5">
      <c r="A1007" s="16" t="s">
        <v>1368</v>
      </c>
      <c r="B1007" s="16">
        <v>1</v>
      </c>
      <c r="D1007" s="16">
        <v>1</v>
      </c>
    </row>
    <row r="1008" spans="1:5">
      <c r="A1008" s="16" t="s">
        <v>1284</v>
      </c>
      <c r="B1008" s="16">
        <v>1</v>
      </c>
      <c r="D1008" s="92">
        <v>1</v>
      </c>
      <c r="E1008" s="16" t="s">
        <v>2707</v>
      </c>
    </row>
    <row r="1009" spans="1:5">
      <c r="A1009" s="16" t="s">
        <v>1393</v>
      </c>
      <c r="B1009" s="16">
        <v>1</v>
      </c>
      <c r="D1009" s="92">
        <v>1</v>
      </c>
    </row>
    <row r="1010" spans="1:5">
      <c r="A1010" s="16" t="s">
        <v>1384</v>
      </c>
      <c r="B1010" s="16">
        <v>1</v>
      </c>
      <c r="D1010" s="92">
        <v>1</v>
      </c>
      <c r="E1010" s="16" t="s">
        <v>2708</v>
      </c>
    </row>
    <row r="1011" spans="1:5">
      <c r="A1011" s="16" t="s">
        <v>1257</v>
      </c>
      <c r="B1011" s="16">
        <v>1</v>
      </c>
      <c r="D1011" s="92">
        <v>1</v>
      </c>
      <c r="E1011" s="16" t="s">
        <v>2709</v>
      </c>
    </row>
    <row r="1012" spans="1:5">
      <c r="A1012" s="16" t="s">
        <v>1328</v>
      </c>
      <c r="B1012" s="16">
        <v>1</v>
      </c>
      <c r="D1012" s="92">
        <v>0</v>
      </c>
      <c r="E1012" s="16" t="s">
        <v>2710</v>
      </c>
    </row>
    <row r="1013" spans="1:5">
      <c r="A1013" s="16" t="s">
        <v>1366</v>
      </c>
      <c r="D1013" s="92">
        <v>0</v>
      </c>
      <c r="E1013" s="16" t="s">
        <v>2710</v>
      </c>
    </row>
    <row r="1014" spans="1:5">
      <c r="A1014" s="16" t="s">
        <v>1262</v>
      </c>
      <c r="B1014" s="16">
        <v>1</v>
      </c>
      <c r="D1014" s="92">
        <v>1</v>
      </c>
    </row>
    <row r="1015" spans="1:5">
      <c r="A1015" s="16" t="s">
        <v>1282</v>
      </c>
      <c r="B1015" s="16">
        <v>1</v>
      </c>
      <c r="D1015" s="92">
        <v>1</v>
      </c>
    </row>
    <row r="1016" spans="1:5">
      <c r="A1016" s="16" t="s">
        <v>1263</v>
      </c>
      <c r="B1016" s="16">
        <v>1</v>
      </c>
      <c r="D1016" s="92">
        <v>1</v>
      </c>
    </row>
    <row r="1017" spans="1:5">
      <c r="A1017" s="16" t="s">
        <v>1359</v>
      </c>
      <c r="B1017" s="16">
        <v>1</v>
      </c>
      <c r="D1017" s="92">
        <v>1</v>
      </c>
    </row>
    <row r="1018" spans="1:5">
      <c r="A1018" s="16" t="s">
        <v>1281</v>
      </c>
      <c r="B1018" s="16">
        <v>1</v>
      </c>
      <c r="D1018" s="92">
        <v>1</v>
      </c>
      <c r="E1018" s="16" t="s">
        <v>2711</v>
      </c>
    </row>
    <row r="1019" spans="1:5">
      <c r="A1019" s="16" t="s">
        <v>1266</v>
      </c>
      <c r="B1019" s="16">
        <v>1</v>
      </c>
      <c r="D1019" s="92">
        <v>1</v>
      </c>
      <c r="E1019" s="16" t="s">
        <v>2712</v>
      </c>
    </row>
    <row r="1020" spans="1:5">
      <c r="A1020" s="16" t="s">
        <v>1267</v>
      </c>
      <c r="B1020" s="16">
        <v>1</v>
      </c>
      <c r="D1020" s="92">
        <v>1</v>
      </c>
      <c r="E1020" s="16" t="s">
        <v>2713</v>
      </c>
    </row>
    <row r="1021" spans="1:5">
      <c r="A1021" s="16" t="s">
        <v>1251</v>
      </c>
      <c r="B1021" s="16">
        <v>1</v>
      </c>
      <c r="D1021" s="92">
        <v>1</v>
      </c>
      <c r="E1021" s="92"/>
    </row>
    <row r="1022" spans="1:5">
      <c r="A1022" s="16" t="s">
        <v>1274</v>
      </c>
      <c r="B1022" s="16">
        <v>1</v>
      </c>
      <c r="D1022" s="92">
        <v>1</v>
      </c>
      <c r="E1022" s="16" t="s">
        <v>2715</v>
      </c>
    </row>
    <row r="1023" spans="1:5">
      <c r="A1023" s="16" t="s">
        <v>1275</v>
      </c>
      <c r="B1023" s="16">
        <v>1</v>
      </c>
      <c r="D1023" s="92">
        <v>1</v>
      </c>
      <c r="E1023" s="16" t="s">
        <v>2715</v>
      </c>
    </row>
    <row r="1024" spans="1:5">
      <c r="A1024" s="16" t="s">
        <v>1392</v>
      </c>
      <c r="B1024" s="16">
        <v>1</v>
      </c>
      <c r="D1024" s="92">
        <v>1</v>
      </c>
    </row>
    <row r="1025" spans="1:5">
      <c r="A1025" s="16" t="s">
        <v>90</v>
      </c>
      <c r="B1025" s="16">
        <v>1</v>
      </c>
      <c r="D1025" s="92">
        <v>1</v>
      </c>
      <c r="E1025" s="92"/>
    </row>
    <row r="1026" spans="1:5">
      <c r="A1026" s="16" t="s">
        <v>1252</v>
      </c>
      <c r="B1026" s="16">
        <v>1</v>
      </c>
      <c r="D1026" s="92">
        <v>1</v>
      </c>
    </row>
    <row r="1027" spans="1:5">
      <c r="A1027" s="16" t="s">
        <v>1318</v>
      </c>
      <c r="B1027" s="16">
        <v>1</v>
      </c>
      <c r="D1027" s="92">
        <v>1</v>
      </c>
    </row>
    <row r="1028" spans="1:5">
      <c r="A1028" s="16" t="s">
        <v>1399</v>
      </c>
      <c r="B1028" s="16">
        <v>1</v>
      </c>
      <c r="D1028" s="92">
        <v>1</v>
      </c>
    </row>
    <row r="1029" spans="1:5">
      <c r="A1029" s="16" t="s">
        <v>1400</v>
      </c>
      <c r="B1029" s="16">
        <v>1</v>
      </c>
      <c r="D1029" s="92">
        <v>1</v>
      </c>
    </row>
    <row r="1030" spans="1:5">
      <c r="A1030" s="16" t="s">
        <v>1261</v>
      </c>
      <c r="B1030" s="16">
        <v>1</v>
      </c>
      <c r="D1030" s="92">
        <v>1</v>
      </c>
    </row>
    <row r="1031" spans="1:5">
      <c r="A1031" s="16" t="s">
        <v>116</v>
      </c>
      <c r="B1031" s="16">
        <v>1</v>
      </c>
      <c r="D1031" s="92">
        <v>1</v>
      </c>
      <c r="E1031" s="92"/>
    </row>
    <row r="1032" spans="1:5">
      <c r="A1032" s="16" t="s">
        <v>1402</v>
      </c>
      <c r="B1032" s="16">
        <v>1</v>
      </c>
      <c r="D1032" s="92">
        <v>1</v>
      </c>
    </row>
    <row r="1033" spans="1:5">
      <c r="A1033" s="16" t="s">
        <v>1319</v>
      </c>
      <c r="B1033" s="16">
        <v>1</v>
      </c>
      <c r="D1033" s="92">
        <v>1</v>
      </c>
    </row>
    <row r="1034" spans="1:5">
      <c r="A1034" s="16" t="s">
        <v>1404</v>
      </c>
      <c r="B1034" s="16">
        <v>1</v>
      </c>
      <c r="D1034" s="92">
        <v>1</v>
      </c>
    </row>
    <row r="1035" spans="1:5">
      <c r="A1035" s="16" t="s">
        <v>1320</v>
      </c>
      <c r="B1035" s="16" t="s">
        <v>11</v>
      </c>
      <c r="D1035" s="92">
        <v>1</v>
      </c>
    </row>
    <row r="1036" spans="1:5">
      <c r="A1036" s="16" t="s">
        <v>1321</v>
      </c>
      <c r="B1036" s="16">
        <v>1</v>
      </c>
      <c r="D1036" s="92">
        <v>1</v>
      </c>
    </row>
    <row r="1037" spans="1:5">
      <c r="A1037" s="16" t="s">
        <v>1322</v>
      </c>
      <c r="B1037" s="16">
        <v>1</v>
      </c>
      <c r="D1037" s="92">
        <v>1</v>
      </c>
    </row>
    <row r="1038" spans="1:5">
      <c r="A1038" s="16" t="s">
        <v>1323</v>
      </c>
      <c r="B1038" s="16">
        <v>1</v>
      </c>
      <c r="D1038" s="92">
        <v>1</v>
      </c>
    </row>
    <row r="1039" spans="1:5">
      <c r="A1039" s="16" t="s">
        <v>1336</v>
      </c>
      <c r="B1039" s="16">
        <v>1</v>
      </c>
      <c r="D1039" s="92">
        <v>1</v>
      </c>
    </row>
    <row r="1040" spans="1:5">
      <c r="A1040" s="16" t="s">
        <v>1324</v>
      </c>
      <c r="D1040" s="92">
        <v>1</v>
      </c>
    </row>
    <row r="1041" spans="1:4">
      <c r="A1041" s="16" t="s">
        <v>694</v>
      </c>
      <c r="B1041" s="16">
        <v>1</v>
      </c>
      <c r="D1041" s="92">
        <v>1</v>
      </c>
    </row>
    <row r="1042" spans="1:4">
      <c r="A1042" s="16" t="s">
        <v>1326</v>
      </c>
      <c r="B1042" s="16">
        <v>1</v>
      </c>
      <c r="D1042" s="92">
        <v>1</v>
      </c>
    </row>
    <row r="1043" spans="1:4">
      <c r="A1043" s="16" t="s">
        <v>1327</v>
      </c>
      <c r="D1043" s="92">
        <v>1</v>
      </c>
    </row>
    <row r="1044" spans="1:4">
      <c r="C1044" s="92" t="s">
        <v>94</v>
      </c>
      <c r="D1044" s="16">
        <f>SUM(D874:D1043)</f>
        <v>35</v>
      </c>
    </row>
    <row r="1045" spans="1:4">
      <c r="C1045" s="92"/>
    </row>
    <row r="1046" spans="1:4">
      <c r="C1046" s="92"/>
    </row>
    <row r="1047" spans="1:4">
      <c r="A1047" s="92" t="s">
        <v>2778</v>
      </c>
      <c r="D1047" s="92"/>
    </row>
    <row r="1048" spans="1:4">
      <c r="A1048" s="16" t="s">
        <v>2779</v>
      </c>
    </row>
    <row r="1049" spans="1:4">
      <c r="A1049" s="16" t="s">
        <v>2780</v>
      </c>
    </row>
    <row r="1050" spans="1:4">
      <c r="A1050" s="16" t="s">
        <v>2960</v>
      </c>
    </row>
    <row r="1051" spans="1:4">
      <c r="A1051" s="16" t="s">
        <v>2955</v>
      </c>
    </row>
    <row r="1052" spans="1:4">
      <c r="A1052" s="16" t="s">
        <v>2958</v>
      </c>
    </row>
    <row r="1053" spans="1:4">
      <c r="A1053" s="16" t="s">
        <v>2956</v>
      </c>
    </row>
    <row r="1054" spans="1:4">
      <c r="A1054" s="16" t="s">
        <v>11</v>
      </c>
    </row>
    <row r="1056" spans="1:4">
      <c r="A1056" s="16" t="s">
        <v>1239</v>
      </c>
    </row>
    <row r="1057" spans="1:7">
      <c r="A1057" s="269" t="s">
        <v>96</v>
      </c>
      <c r="B1057" s="275" t="s">
        <v>2950</v>
      </c>
      <c r="C1057" s="275" t="s">
        <v>2951</v>
      </c>
      <c r="D1057" s="277" t="s">
        <v>2957</v>
      </c>
    </row>
    <row r="1058" spans="1:7">
      <c r="A1058" s="16" t="s">
        <v>89</v>
      </c>
      <c r="B1058" s="207">
        <v>322.89999999999998</v>
      </c>
      <c r="C1058" s="207" t="s">
        <v>2952</v>
      </c>
      <c r="D1058" s="207"/>
    </row>
    <row r="1059" spans="1:7">
      <c r="A1059" s="16" t="s">
        <v>90</v>
      </c>
      <c r="B1059" s="207">
        <v>231.5</v>
      </c>
      <c r="C1059" s="207" t="s">
        <v>2953</v>
      </c>
      <c r="D1059" s="278">
        <f>B1059/(1429.9-340.5)</f>
        <v>0.21250229484119698</v>
      </c>
    </row>
    <row r="1060" spans="1:7">
      <c r="A1060" s="16" t="s">
        <v>97</v>
      </c>
      <c r="B1060" s="207">
        <v>104.8</v>
      </c>
      <c r="C1060" s="272" t="s">
        <v>2952</v>
      </c>
      <c r="D1060" s="207"/>
    </row>
    <row r="1061" spans="1:7">
      <c r="A1061" s="16" t="s">
        <v>1240</v>
      </c>
      <c r="B1061" s="207">
        <v>50</v>
      </c>
      <c r="C1061" s="272" t="s">
        <v>2953</v>
      </c>
      <c r="D1061" s="278">
        <f>B1061/(1429.9-340.5)</f>
        <v>4.5896823939783365E-2</v>
      </c>
    </row>
    <row r="1062" spans="1:7">
      <c r="A1062" s="16" t="s">
        <v>128</v>
      </c>
      <c r="B1062" s="207">
        <v>70.7</v>
      </c>
      <c r="C1062" s="272" t="s">
        <v>2952</v>
      </c>
      <c r="D1062" s="207"/>
    </row>
    <row r="1063" spans="1:7">
      <c r="A1063" s="16" t="s">
        <v>1241</v>
      </c>
      <c r="B1063" s="207">
        <v>40.5</v>
      </c>
      <c r="C1063" s="272" t="s">
        <v>2953</v>
      </c>
      <c r="D1063" s="278">
        <f>B1063/(1429.9-340.5)</f>
        <v>3.7176427391224523E-2</v>
      </c>
    </row>
    <row r="1064" spans="1:7">
      <c r="A1064" s="16" t="s">
        <v>1242</v>
      </c>
      <c r="B1064" s="207">
        <v>59.7</v>
      </c>
      <c r="C1064" s="272" t="s">
        <v>2952</v>
      </c>
      <c r="D1064" s="207"/>
    </row>
    <row r="1065" spans="1:7">
      <c r="A1065" s="16" t="s">
        <v>93</v>
      </c>
      <c r="B1065" s="207">
        <v>56.2</v>
      </c>
      <c r="C1065" s="272" t="s">
        <v>2952</v>
      </c>
      <c r="D1065" s="207"/>
    </row>
    <row r="1066" spans="1:7">
      <c r="A1066" s="16" t="s">
        <v>109</v>
      </c>
      <c r="B1066" s="207">
        <v>74</v>
      </c>
      <c r="C1066" s="272" t="s">
        <v>2952</v>
      </c>
      <c r="D1066" s="207"/>
    </row>
    <row r="1067" spans="1:7">
      <c r="A1067" s="16" t="s">
        <v>1243</v>
      </c>
      <c r="B1067" s="207">
        <v>44.5</v>
      </c>
      <c r="C1067" s="272" t="s">
        <v>2952</v>
      </c>
      <c r="D1067" s="207"/>
      <c r="G1067" s="108"/>
    </row>
    <row r="1068" spans="1:7">
      <c r="A1068" s="16" t="s">
        <v>1244</v>
      </c>
      <c r="B1068" s="207">
        <v>20.2</v>
      </c>
      <c r="C1068" s="272" t="s">
        <v>2952</v>
      </c>
      <c r="D1068" s="207"/>
    </row>
    <row r="1069" spans="1:7">
      <c r="A1069" s="16" t="s">
        <v>125</v>
      </c>
      <c r="B1069" s="207">
        <v>14.4</v>
      </c>
      <c r="C1069" s="272" t="s">
        <v>2952</v>
      </c>
      <c r="D1069" s="207"/>
    </row>
    <row r="1070" spans="1:7">
      <c r="A1070" s="16" t="s">
        <v>2812</v>
      </c>
      <c r="B1070" s="207"/>
      <c r="C1070" s="207"/>
      <c r="D1070" s="207"/>
    </row>
    <row r="1071" spans="1:7">
      <c r="A1071" s="16" t="s">
        <v>2792</v>
      </c>
      <c r="B1071" s="207"/>
      <c r="C1071" s="207"/>
      <c r="D1071" s="207"/>
    </row>
    <row r="1072" spans="1:7">
      <c r="A1072" s="16" t="s">
        <v>2793</v>
      </c>
      <c r="B1072" s="207"/>
      <c r="C1072" s="207"/>
      <c r="D1072" s="207"/>
    </row>
    <row r="1073" spans="1:27">
      <c r="A1073" s="16" t="s">
        <v>116</v>
      </c>
      <c r="B1073" s="207"/>
      <c r="C1073" s="207"/>
      <c r="D1073" s="207"/>
    </row>
    <row r="1074" spans="1:27">
      <c r="A1074" s="16" t="s">
        <v>2794</v>
      </c>
      <c r="B1074" s="207"/>
      <c r="C1074" s="207"/>
      <c r="D1074" s="207"/>
    </row>
    <row r="1075" spans="1:27">
      <c r="A1075" s="16" t="s">
        <v>2795</v>
      </c>
      <c r="B1075" s="207"/>
      <c r="C1075" s="207"/>
      <c r="D1075" s="207"/>
    </row>
    <row r="1076" spans="1:27">
      <c r="A1076" s="16" t="s">
        <v>1247</v>
      </c>
      <c r="B1076" s="207">
        <v>340.5</v>
      </c>
      <c r="C1076" s="207"/>
      <c r="D1076" s="207"/>
    </row>
    <row r="1077" spans="1:27">
      <c r="A1077" s="109" t="s">
        <v>2954</v>
      </c>
      <c r="B1077" s="279">
        <f>(B1078-B1076)/1429.9</f>
        <v>0.76187145954262558</v>
      </c>
      <c r="C1077" s="257"/>
      <c r="D1077" s="279">
        <f>SUM(D1058:D1076)</f>
        <v>0.29557554617220483</v>
      </c>
      <c r="E1077" s="109" t="s">
        <v>3330</v>
      </c>
    </row>
    <row r="1078" spans="1:27">
      <c r="A1078" s="16" t="s">
        <v>94</v>
      </c>
      <c r="B1078" s="207">
        <f>SUM(B1058:B1076)</f>
        <v>1429.9000000000003</v>
      </c>
      <c r="C1078" s="207"/>
      <c r="D1078" s="207"/>
    </row>
    <row r="1079" spans="1:27">
      <c r="A1079" s="16" t="s">
        <v>11</v>
      </c>
      <c r="B1079" s="251" t="s">
        <v>11</v>
      </c>
    </row>
    <row r="1080" spans="1:27">
      <c r="A1080" s="16" t="s">
        <v>2868</v>
      </c>
      <c r="I1080" s="408" t="s">
        <v>3320</v>
      </c>
      <c r="J1080" s="408"/>
      <c r="K1080" s="408"/>
      <c r="L1080" s="408"/>
      <c r="M1080" s="408"/>
      <c r="N1080" s="408"/>
      <c r="O1080" s="408"/>
      <c r="P1080" s="408"/>
      <c r="Q1080" s="408"/>
      <c r="R1080" s="408" t="s">
        <v>3325</v>
      </c>
      <c r="S1080" s="408"/>
      <c r="T1080" s="408"/>
      <c r="U1080" s="408"/>
      <c r="V1080" s="408"/>
      <c r="W1080" s="408"/>
      <c r="X1080" s="408"/>
      <c r="Y1080" s="408"/>
      <c r="Z1080" s="408"/>
      <c r="AA1080" s="408"/>
    </row>
    <row r="1081" spans="1:27">
      <c r="A1081" s="275" t="s">
        <v>2720</v>
      </c>
      <c r="B1081" s="275" t="s">
        <v>1442</v>
      </c>
      <c r="C1081" s="275" t="s">
        <v>2721</v>
      </c>
      <c r="D1081" s="275" t="s">
        <v>2722</v>
      </c>
      <c r="F1081" s="276" t="s">
        <v>3328</v>
      </c>
      <c r="G1081" s="275" t="s">
        <v>2723</v>
      </c>
      <c r="H1081" s="275" t="s">
        <v>2724</v>
      </c>
      <c r="I1081" s="275" t="s">
        <v>3316</v>
      </c>
      <c r="J1081" s="275" t="s">
        <v>3317</v>
      </c>
      <c r="K1081" s="275" t="s">
        <v>3318</v>
      </c>
      <c r="L1081" s="275" t="s">
        <v>3319</v>
      </c>
      <c r="M1081" s="275" t="s">
        <v>3321</v>
      </c>
      <c r="N1081" s="275" t="s">
        <v>3315</v>
      </c>
      <c r="O1081" s="275" t="s">
        <v>3322</v>
      </c>
      <c r="P1081" s="275" t="s">
        <v>3323</v>
      </c>
      <c r="Q1081" s="275" t="s">
        <v>3324</v>
      </c>
      <c r="R1081" s="275" t="s">
        <v>3326</v>
      </c>
      <c r="S1081" s="275" t="s">
        <v>3327</v>
      </c>
      <c r="T1081" s="275" t="s">
        <v>3318</v>
      </c>
      <c r="U1081" s="275" t="s">
        <v>3319</v>
      </c>
      <c r="V1081" s="275" t="s">
        <v>3321</v>
      </c>
      <c r="W1081" s="275" t="s">
        <v>3315</v>
      </c>
      <c r="X1081" s="275" t="s">
        <v>3322</v>
      </c>
      <c r="Y1081" s="275" t="s">
        <v>3323</v>
      </c>
      <c r="Z1081" s="275" t="s">
        <v>3324</v>
      </c>
      <c r="AA1081" s="275" t="s">
        <v>2725</v>
      </c>
    </row>
    <row r="1082" spans="1:27">
      <c r="A1082" s="16" t="s">
        <v>90</v>
      </c>
      <c r="B1082" s="207">
        <v>1</v>
      </c>
      <c r="C1082" s="92">
        <v>1</v>
      </c>
      <c r="D1082" s="92"/>
      <c r="F1082" s="108">
        <f>'1.9 OEM Sales'!B62*1000000</f>
        <v>231500000</v>
      </c>
      <c r="G1082" s="108"/>
      <c r="I1082" s="16">
        <v>0.98</v>
      </c>
      <c r="J1082" s="16">
        <v>0.78</v>
      </c>
      <c r="K1082" s="16">
        <v>0.68</v>
      </c>
      <c r="L1082" s="16">
        <v>0.45</v>
      </c>
      <c r="M1082" s="16">
        <v>0.42</v>
      </c>
      <c r="N1082" s="16">
        <v>0.22</v>
      </c>
      <c r="O1082" s="16">
        <v>0.2</v>
      </c>
      <c r="P1082" s="16">
        <v>0.15</v>
      </c>
      <c r="Q1082" s="16">
        <v>0.1</v>
      </c>
      <c r="R1082" s="107">
        <f t="shared" ref="R1082:S1084" si="0">I1082*500000</f>
        <v>490000</v>
      </c>
      <c r="S1082" s="107">
        <f t="shared" si="0"/>
        <v>390000</v>
      </c>
      <c r="T1082" s="107">
        <f>K1082*1000000</f>
        <v>680000</v>
      </c>
      <c r="U1082" s="107">
        <f>L1082*3000000</f>
        <v>1350000</v>
      </c>
      <c r="V1082" s="107">
        <f>M1082*5000000</f>
        <v>2100000</v>
      </c>
      <c r="W1082" s="107">
        <f>N1082*10000000</f>
        <v>2200000</v>
      </c>
      <c r="X1082" s="107">
        <f>O1082*30000000</f>
        <v>6000000</v>
      </c>
      <c r="Y1082" s="107">
        <f>P1082*25000000</f>
        <v>3750000</v>
      </c>
      <c r="Z1082" s="107">
        <f>(F1082-75000000)*0.1</f>
        <v>15650000</v>
      </c>
      <c r="AA1082" s="107">
        <f>SUM(R1082:Z1082)</f>
        <v>32610000</v>
      </c>
    </row>
    <row r="1083" spans="1:27">
      <c r="A1083" s="16" t="s">
        <v>1267</v>
      </c>
      <c r="B1083" s="207">
        <v>1</v>
      </c>
      <c r="C1083" s="92">
        <v>1</v>
      </c>
      <c r="D1083" s="16" t="s">
        <v>1256</v>
      </c>
      <c r="F1083" s="108">
        <f>'1.9 OEM Sales'!B64*1000000</f>
        <v>50000000</v>
      </c>
      <c r="G1083" s="108"/>
      <c r="I1083" s="16">
        <v>0.98</v>
      </c>
      <c r="J1083" s="16">
        <v>0.78</v>
      </c>
      <c r="K1083" s="16">
        <v>0.68</v>
      </c>
      <c r="L1083" s="16">
        <v>0.45</v>
      </c>
      <c r="M1083" s="16">
        <v>0.42</v>
      </c>
      <c r="N1083" s="16">
        <v>0.22</v>
      </c>
      <c r="O1083" s="16">
        <v>0.2</v>
      </c>
      <c r="P1083" s="16">
        <v>0.15</v>
      </c>
      <c r="Q1083" s="16">
        <v>0.1</v>
      </c>
      <c r="R1083" s="107">
        <f t="shared" si="0"/>
        <v>490000</v>
      </c>
      <c r="S1083" s="107">
        <f t="shared" si="0"/>
        <v>390000</v>
      </c>
      <c r="T1083" s="107">
        <f>K1083*1000000</f>
        <v>680000</v>
      </c>
      <c r="U1083" s="107">
        <f>L1083*3000000</f>
        <v>1350000</v>
      </c>
      <c r="V1083" s="107">
        <f>M1083*5000000</f>
        <v>2100000</v>
      </c>
      <c r="W1083" s="107">
        <f>N1083*10000000</f>
        <v>2200000</v>
      </c>
      <c r="X1083" s="107">
        <f>O1083*30000000</f>
        <v>6000000</v>
      </c>
      <c r="AA1083" s="107">
        <f>SUM(R1083:Z1083)</f>
        <v>13210000</v>
      </c>
    </row>
    <row r="1084" spans="1:27">
      <c r="A1084" s="16" t="s">
        <v>1274</v>
      </c>
      <c r="B1084" s="207">
        <v>1</v>
      </c>
      <c r="C1084" s="92">
        <v>1</v>
      </c>
      <c r="D1084" s="16" t="s">
        <v>1256</v>
      </c>
      <c r="F1084" s="108">
        <f>'1.9 OEM Sales'!B66*1000000</f>
        <v>40500000</v>
      </c>
      <c r="G1084" s="108"/>
      <c r="I1084" s="16">
        <v>0.98</v>
      </c>
      <c r="J1084" s="16">
        <v>0.78</v>
      </c>
      <c r="K1084" s="16">
        <v>0.68</v>
      </c>
      <c r="L1084" s="16">
        <v>0.45</v>
      </c>
      <c r="M1084" s="16">
        <v>0.42</v>
      </c>
      <c r="N1084" s="16">
        <v>0.22</v>
      </c>
      <c r="O1084" s="16">
        <v>0.2</v>
      </c>
      <c r="P1084" s="16">
        <v>0.15</v>
      </c>
      <c r="Q1084" s="16">
        <v>0.1</v>
      </c>
      <c r="R1084" s="107">
        <f t="shared" si="0"/>
        <v>490000</v>
      </c>
      <c r="S1084" s="107">
        <f t="shared" si="0"/>
        <v>390000</v>
      </c>
      <c r="T1084" s="107">
        <f>K1084*1000000</f>
        <v>680000</v>
      </c>
      <c r="U1084" s="107">
        <f>L1084*3000000</f>
        <v>1350000</v>
      </c>
      <c r="V1084" s="107">
        <f>M1084*5000000</f>
        <v>2100000</v>
      </c>
      <c r="W1084" s="107">
        <f>N1084*10000000</f>
        <v>2200000</v>
      </c>
      <c r="X1084" s="107">
        <f>(40500000-20000000)*0.2</f>
        <v>4100000</v>
      </c>
      <c r="AA1084" s="107">
        <f>SUM(R1084:Z1084)</f>
        <v>11310000</v>
      </c>
    </row>
    <row r="1085" spans="1:27">
      <c r="A1085" s="16" t="s">
        <v>1320</v>
      </c>
      <c r="B1085" s="207" t="s">
        <v>11</v>
      </c>
      <c r="C1085" s="92">
        <v>1</v>
      </c>
      <c r="F1085" s="108">
        <v>0</v>
      </c>
      <c r="G1085" s="108"/>
      <c r="I1085" s="16">
        <v>0.98</v>
      </c>
      <c r="J1085" s="16">
        <v>0.78</v>
      </c>
      <c r="K1085" s="16">
        <v>0.68</v>
      </c>
      <c r="L1085" s="16">
        <v>0.45</v>
      </c>
      <c r="M1085" s="16">
        <v>0.42</v>
      </c>
      <c r="N1085" s="16">
        <v>0.22</v>
      </c>
      <c r="O1085" s="16">
        <v>0.2</v>
      </c>
      <c r="P1085" s="16">
        <v>0.15</v>
      </c>
      <c r="Q1085" s="16">
        <v>0.1</v>
      </c>
      <c r="AA1085" s="16">
        <v>0</v>
      </c>
    </row>
    <row r="1086" spans="1:27">
      <c r="A1086" s="16" t="s">
        <v>1324</v>
      </c>
      <c r="B1086" s="207"/>
      <c r="C1086" s="92">
        <v>1</v>
      </c>
      <c r="F1086" s="108">
        <v>0</v>
      </c>
      <c r="G1086" s="108"/>
      <c r="I1086" s="16">
        <v>0.98</v>
      </c>
      <c r="J1086" s="16">
        <v>0.78</v>
      </c>
      <c r="K1086" s="16">
        <v>0.68</v>
      </c>
      <c r="L1086" s="16">
        <v>0.45</v>
      </c>
      <c r="M1086" s="16">
        <v>0.42</v>
      </c>
      <c r="N1086" s="16">
        <v>0.22</v>
      </c>
      <c r="O1086" s="16">
        <v>0.2</v>
      </c>
      <c r="P1086" s="16">
        <v>0.15</v>
      </c>
      <c r="Q1086" s="16">
        <v>0.1</v>
      </c>
      <c r="AA1086" s="16">
        <v>0</v>
      </c>
    </row>
    <row r="1087" spans="1:27">
      <c r="A1087" s="16" t="s">
        <v>1327</v>
      </c>
      <c r="B1087" s="207"/>
      <c r="C1087" s="92">
        <v>1</v>
      </c>
      <c r="F1087" s="108">
        <v>0</v>
      </c>
      <c r="G1087" s="108"/>
      <c r="I1087" s="16">
        <v>0.98</v>
      </c>
      <c r="J1087" s="16">
        <v>0.78</v>
      </c>
      <c r="K1087" s="16">
        <v>0.68</v>
      </c>
      <c r="L1087" s="16">
        <v>0.45</v>
      </c>
      <c r="M1087" s="16">
        <v>0.42</v>
      </c>
      <c r="N1087" s="16">
        <v>0.22</v>
      </c>
      <c r="O1087" s="16">
        <v>0.2</v>
      </c>
      <c r="P1087" s="16">
        <v>0.15</v>
      </c>
      <c r="Q1087" s="16">
        <v>0.1</v>
      </c>
      <c r="AA1087" s="16">
        <v>0</v>
      </c>
    </row>
    <row r="1088" spans="1:27">
      <c r="A1088" s="16" t="s">
        <v>1368</v>
      </c>
      <c r="B1088" s="207">
        <v>1</v>
      </c>
      <c r="C1088" s="16">
        <v>1</v>
      </c>
      <c r="F1088" s="108"/>
      <c r="G1088" s="108">
        <v>3522414</v>
      </c>
      <c r="H1088" s="16" t="s">
        <v>2959</v>
      </c>
      <c r="I1088" s="16">
        <v>0.98</v>
      </c>
      <c r="J1088" s="16">
        <v>0.78</v>
      </c>
      <c r="K1088" s="16">
        <v>0.68</v>
      </c>
      <c r="L1088" s="16">
        <v>0.45</v>
      </c>
      <c r="M1088" s="16">
        <v>0.42</v>
      </c>
      <c r="N1088" s="16">
        <v>0.22</v>
      </c>
      <c r="O1088" s="16">
        <v>0.2</v>
      </c>
      <c r="P1088" s="16">
        <v>0.15</v>
      </c>
      <c r="Q1088" s="16">
        <v>0.1</v>
      </c>
      <c r="R1088" s="107">
        <f t="shared" ref="R1088:R1116" si="1">I1088*500000</f>
        <v>490000</v>
      </c>
      <c r="S1088" s="107">
        <f t="shared" ref="S1088:S1116" si="2">J1088*500000</f>
        <v>390000</v>
      </c>
      <c r="T1088" s="107">
        <f t="shared" ref="T1088:T1116" si="3">K1088*1000000</f>
        <v>680000</v>
      </c>
      <c r="U1088" s="107">
        <f>L1088*(3522414-2000000)</f>
        <v>685086.3</v>
      </c>
      <c r="AA1088" s="107">
        <f t="shared" ref="AA1088:AA1116" si="4">SUM(R1088:Z1088)</f>
        <v>2245086.2999999998</v>
      </c>
    </row>
    <row r="1089" spans="1:27">
      <c r="A1089" s="16" t="s">
        <v>1284</v>
      </c>
      <c r="B1089" s="207">
        <v>1</v>
      </c>
      <c r="C1089" s="92">
        <v>1</v>
      </c>
      <c r="D1089" s="16" t="s">
        <v>3314</v>
      </c>
      <c r="F1089" s="108"/>
      <c r="G1089" s="108">
        <v>3522414</v>
      </c>
      <c r="H1089" s="16" t="s">
        <v>2959</v>
      </c>
      <c r="I1089" s="16">
        <v>0.98</v>
      </c>
      <c r="J1089" s="16">
        <v>0.78</v>
      </c>
      <c r="K1089" s="16">
        <v>0.68</v>
      </c>
      <c r="L1089" s="16">
        <v>0.45</v>
      </c>
      <c r="M1089" s="16">
        <v>0.42</v>
      </c>
      <c r="N1089" s="16">
        <v>0.22</v>
      </c>
      <c r="O1089" s="16">
        <v>0.2</v>
      </c>
      <c r="P1089" s="16">
        <v>0.15</v>
      </c>
      <c r="Q1089" s="16">
        <v>0.1</v>
      </c>
      <c r="R1089" s="107">
        <f t="shared" si="1"/>
        <v>490000</v>
      </c>
      <c r="S1089" s="107">
        <f t="shared" si="2"/>
        <v>390000</v>
      </c>
      <c r="T1089" s="107">
        <f t="shared" si="3"/>
        <v>680000</v>
      </c>
      <c r="U1089" s="107">
        <f t="shared" ref="U1089:U1116" si="5">L1089*(3522414-2000000)</f>
        <v>685086.3</v>
      </c>
      <c r="AA1089" s="107">
        <f t="shared" si="4"/>
        <v>2245086.2999999998</v>
      </c>
    </row>
    <row r="1090" spans="1:27">
      <c r="A1090" s="16" t="s">
        <v>1393</v>
      </c>
      <c r="B1090" s="207">
        <v>1</v>
      </c>
      <c r="C1090" s="92">
        <v>1</v>
      </c>
      <c r="F1090" s="108"/>
      <c r="G1090" s="108">
        <v>3522414</v>
      </c>
      <c r="H1090" s="16" t="s">
        <v>2959</v>
      </c>
      <c r="I1090" s="16">
        <v>0.98</v>
      </c>
      <c r="J1090" s="16">
        <v>0.78</v>
      </c>
      <c r="K1090" s="16">
        <v>0.68</v>
      </c>
      <c r="L1090" s="16">
        <v>0.45</v>
      </c>
      <c r="M1090" s="16">
        <v>0.42</v>
      </c>
      <c r="N1090" s="16">
        <v>0.22</v>
      </c>
      <c r="O1090" s="16">
        <v>0.2</v>
      </c>
      <c r="P1090" s="16">
        <v>0.15</v>
      </c>
      <c r="Q1090" s="16">
        <v>0.1</v>
      </c>
      <c r="R1090" s="107">
        <f t="shared" si="1"/>
        <v>490000</v>
      </c>
      <c r="S1090" s="107">
        <f t="shared" si="2"/>
        <v>390000</v>
      </c>
      <c r="T1090" s="107">
        <f t="shared" si="3"/>
        <v>680000</v>
      </c>
      <c r="U1090" s="107">
        <f t="shared" si="5"/>
        <v>685086.3</v>
      </c>
      <c r="AA1090" s="107">
        <f t="shared" si="4"/>
        <v>2245086.2999999998</v>
      </c>
    </row>
    <row r="1091" spans="1:27">
      <c r="A1091" s="16" t="s">
        <v>1384</v>
      </c>
      <c r="B1091" s="207">
        <v>1</v>
      </c>
      <c r="C1091" s="92">
        <v>1</v>
      </c>
      <c r="D1091" s="16" t="s">
        <v>2708</v>
      </c>
      <c r="F1091" s="108"/>
      <c r="G1091" s="108">
        <v>3522414</v>
      </c>
      <c r="H1091" s="16" t="s">
        <v>2959</v>
      </c>
      <c r="I1091" s="16">
        <v>0.98</v>
      </c>
      <c r="J1091" s="16">
        <v>0.78</v>
      </c>
      <c r="K1091" s="16">
        <v>0.68</v>
      </c>
      <c r="L1091" s="16">
        <v>0.45</v>
      </c>
      <c r="M1091" s="16">
        <v>0.42</v>
      </c>
      <c r="N1091" s="16">
        <v>0.22</v>
      </c>
      <c r="O1091" s="16">
        <v>0.2</v>
      </c>
      <c r="P1091" s="16">
        <v>0.15</v>
      </c>
      <c r="Q1091" s="16">
        <v>0.1</v>
      </c>
      <c r="R1091" s="107">
        <f t="shared" si="1"/>
        <v>490000</v>
      </c>
      <c r="S1091" s="107">
        <f t="shared" si="2"/>
        <v>390000</v>
      </c>
      <c r="T1091" s="107">
        <f t="shared" si="3"/>
        <v>680000</v>
      </c>
      <c r="U1091" s="107">
        <f t="shared" si="5"/>
        <v>685086.3</v>
      </c>
      <c r="AA1091" s="107">
        <f t="shared" si="4"/>
        <v>2245086.2999999998</v>
      </c>
    </row>
    <row r="1092" spans="1:27">
      <c r="A1092" s="16" t="s">
        <v>1257</v>
      </c>
      <c r="B1092" s="207">
        <v>1</v>
      </c>
      <c r="C1092" s="92">
        <v>1</v>
      </c>
      <c r="D1092" s="16" t="s">
        <v>2709</v>
      </c>
      <c r="F1092" s="108"/>
      <c r="G1092" s="108">
        <v>3522414</v>
      </c>
      <c r="H1092" s="16" t="s">
        <v>2959</v>
      </c>
      <c r="I1092" s="16">
        <v>0.98</v>
      </c>
      <c r="J1092" s="16">
        <v>0.78</v>
      </c>
      <c r="K1092" s="16">
        <v>0.68</v>
      </c>
      <c r="L1092" s="16">
        <v>0.45</v>
      </c>
      <c r="M1092" s="16">
        <v>0.42</v>
      </c>
      <c r="N1092" s="16">
        <v>0.22</v>
      </c>
      <c r="O1092" s="16">
        <v>0.2</v>
      </c>
      <c r="P1092" s="16">
        <v>0.15</v>
      </c>
      <c r="Q1092" s="16">
        <v>0.1</v>
      </c>
      <c r="R1092" s="107">
        <f t="shared" si="1"/>
        <v>490000</v>
      </c>
      <c r="S1092" s="107">
        <f t="shared" si="2"/>
        <v>390000</v>
      </c>
      <c r="T1092" s="107">
        <f t="shared" si="3"/>
        <v>680000</v>
      </c>
      <c r="U1092" s="107">
        <f t="shared" si="5"/>
        <v>685086.3</v>
      </c>
      <c r="AA1092" s="107">
        <f t="shared" si="4"/>
        <v>2245086.2999999998</v>
      </c>
    </row>
    <row r="1093" spans="1:27">
      <c r="A1093" s="16" t="s">
        <v>1262</v>
      </c>
      <c r="B1093" s="207">
        <v>1</v>
      </c>
      <c r="C1093" s="92">
        <v>1</v>
      </c>
      <c r="F1093" s="108"/>
      <c r="G1093" s="108">
        <v>3522414</v>
      </c>
      <c r="H1093" s="16" t="s">
        <v>2959</v>
      </c>
      <c r="I1093" s="16">
        <v>0.98</v>
      </c>
      <c r="J1093" s="16">
        <v>0.78</v>
      </c>
      <c r="K1093" s="16">
        <v>0.68</v>
      </c>
      <c r="L1093" s="16">
        <v>0.45</v>
      </c>
      <c r="M1093" s="16">
        <v>0.42</v>
      </c>
      <c r="N1093" s="16">
        <v>0.22</v>
      </c>
      <c r="O1093" s="16">
        <v>0.2</v>
      </c>
      <c r="P1093" s="16">
        <v>0.15</v>
      </c>
      <c r="Q1093" s="16">
        <v>0.1</v>
      </c>
      <c r="R1093" s="107">
        <f t="shared" si="1"/>
        <v>490000</v>
      </c>
      <c r="S1093" s="107">
        <f t="shared" si="2"/>
        <v>390000</v>
      </c>
      <c r="T1093" s="107">
        <f t="shared" si="3"/>
        <v>680000</v>
      </c>
      <c r="U1093" s="107">
        <f t="shared" si="5"/>
        <v>685086.3</v>
      </c>
      <c r="AA1093" s="107">
        <f t="shared" si="4"/>
        <v>2245086.2999999998</v>
      </c>
    </row>
    <row r="1094" spans="1:27">
      <c r="A1094" s="16" t="s">
        <v>1282</v>
      </c>
      <c r="B1094" s="207">
        <v>1</v>
      </c>
      <c r="C1094" s="92">
        <v>1</v>
      </c>
      <c r="F1094" s="108"/>
      <c r="G1094" s="108">
        <v>3522414</v>
      </c>
      <c r="H1094" s="16" t="s">
        <v>2959</v>
      </c>
      <c r="I1094" s="16">
        <v>0.98</v>
      </c>
      <c r="J1094" s="16">
        <v>0.78</v>
      </c>
      <c r="K1094" s="16">
        <v>0.68</v>
      </c>
      <c r="L1094" s="16">
        <v>0.45</v>
      </c>
      <c r="M1094" s="16">
        <v>0.42</v>
      </c>
      <c r="N1094" s="16">
        <v>0.22</v>
      </c>
      <c r="O1094" s="16">
        <v>0.2</v>
      </c>
      <c r="P1094" s="16">
        <v>0.15</v>
      </c>
      <c r="Q1094" s="16">
        <v>0.1</v>
      </c>
      <c r="R1094" s="107">
        <f t="shared" si="1"/>
        <v>490000</v>
      </c>
      <c r="S1094" s="107">
        <f t="shared" si="2"/>
        <v>390000</v>
      </c>
      <c r="T1094" s="107">
        <f t="shared" si="3"/>
        <v>680000</v>
      </c>
      <c r="U1094" s="107">
        <f t="shared" si="5"/>
        <v>685086.3</v>
      </c>
      <c r="AA1094" s="107">
        <f t="shared" si="4"/>
        <v>2245086.2999999998</v>
      </c>
    </row>
    <row r="1095" spans="1:27">
      <c r="A1095" s="16" t="s">
        <v>1263</v>
      </c>
      <c r="B1095" s="207">
        <v>1</v>
      </c>
      <c r="C1095" s="92">
        <v>1</v>
      </c>
      <c r="F1095" s="108"/>
      <c r="G1095" s="108">
        <v>3522414</v>
      </c>
      <c r="H1095" s="16" t="s">
        <v>2959</v>
      </c>
      <c r="I1095" s="16">
        <v>0.98</v>
      </c>
      <c r="J1095" s="16">
        <v>0.78</v>
      </c>
      <c r="K1095" s="16">
        <v>0.68</v>
      </c>
      <c r="L1095" s="16">
        <v>0.45</v>
      </c>
      <c r="M1095" s="16">
        <v>0.42</v>
      </c>
      <c r="N1095" s="16">
        <v>0.22</v>
      </c>
      <c r="O1095" s="16">
        <v>0.2</v>
      </c>
      <c r="P1095" s="16">
        <v>0.15</v>
      </c>
      <c r="Q1095" s="16">
        <v>0.1</v>
      </c>
      <c r="R1095" s="107">
        <f t="shared" si="1"/>
        <v>490000</v>
      </c>
      <c r="S1095" s="107">
        <f t="shared" si="2"/>
        <v>390000</v>
      </c>
      <c r="T1095" s="107">
        <f t="shared" si="3"/>
        <v>680000</v>
      </c>
      <c r="U1095" s="107">
        <f t="shared" si="5"/>
        <v>685086.3</v>
      </c>
      <c r="AA1095" s="107">
        <f t="shared" si="4"/>
        <v>2245086.2999999998</v>
      </c>
    </row>
    <row r="1096" spans="1:27">
      <c r="A1096" s="16" t="s">
        <v>1359</v>
      </c>
      <c r="B1096" s="207">
        <v>1</v>
      </c>
      <c r="C1096" s="92">
        <v>1</v>
      </c>
      <c r="F1096" s="108"/>
      <c r="G1096" s="108">
        <v>3522414</v>
      </c>
      <c r="H1096" s="16" t="s">
        <v>2959</v>
      </c>
      <c r="I1096" s="16">
        <v>0.98</v>
      </c>
      <c r="J1096" s="16">
        <v>0.78</v>
      </c>
      <c r="K1096" s="16">
        <v>0.68</v>
      </c>
      <c r="L1096" s="16">
        <v>0.45</v>
      </c>
      <c r="M1096" s="16">
        <v>0.42</v>
      </c>
      <c r="N1096" s="16">
        <v>0.22</v>
      </c>
      <c r="O1096" s="16">
        <v>0.2</v>
      </c>
      <c r="P1096" s="16">
        <v>0.15</v>
      </c>
      <c r="Q1096" s="16">
        <v>0.1</v>
      </c>
      <c r="R1096" s="107">
        <f t="shared" si="1"/>
        <v>490000</v>
      </c>
      <c r="S1096" s="107">
        <f t="shared" si="2"/>
        <v>390000</v>
      </c>
      <c r="T1096" s="107">
        <f t="shared" si="3"/>
        <v>680000</v>
      </c>
      <c r="U1096" s="107">
        <f t="shared" si="5"/>
        <v>685086.3</v>
      </c>
      <c r="AA1096" s="107">
        <f t="shared" si="4"/>
        <v>2245086.2999999998</v>
      </c>
    </row>
    <row r="1097" spans="1:27">
      <c r="A1097" s="16" t="s">
        <v>1281</v>
      </c>
      <c r="B1097" s="207">
        <v>1</v>
      </c>
      <c r="C1097" s="92">
        <v>1</v>
      </c>
      <c r="D1097" s="16" t="s">
        <v>2711</v>
      </c>
      <c r="F1097" s="108"/>
      <c r="G1097" s="108">
        <v>3522414</v>
      </c>
      <c r="H1097" s="16" t="s">
        <v>2959</v>
      </c>
      <c r="I1097" s="16">
        <v>0.98</v>
      </c>
      <c r="J1097" s="16">
        <v>0.78</v>
      </c>
      <c r="K1097" s="16">
        <v>0.68</v>
      </c>
      <c r="L1097" s="16">
        <v>0.45</v>
      </c>
      <c r="M1097" s="16">
        <v>0.42</v>
      </c>
      <c r="N1097" s="16">
        <v>0.22</v>
      </c>
      <c r="O1097" s="16">
        <v>0.2</v>
      </c>
      <c r="P1097" s="16">
        <v>0.15</v>
      </c>
      <c r="Q1097" s="16">
        <v>0.1</v>
      </c>
      <c r="R1097" s="107">
        <f t="shared" si="1"/>
        <v>490000</v>
      </c>
      <c r="S1097" s="107">
        <f t="shared" si="2"/>
        <v>390000</v>
      </c>
      <c r="T1097" s="107">
        <f t="shared" si="3"/>
        <v>680000</v>
      </c>
      <c r="U1097" s="107">
        <f t="shared" si="5"/>
        <v>685086.3</v>
      </c>
      <c r="AA1097" s="107">
        <f t="shared" si="4"/>
        <v>2245086.2999999998</v>
      </c>
    </row>
    <row r="1098" spans="1:27">
      <c r="A1098" s="16" t="s">
        <v>1266</v>
      </c>
      <c r="B1098" s="207">
        <v>1</v>
      </c>
      <c r="C1098" s="92">
        <v>1</v>
      </c>
      <c r="D1098" s="16" t="s">
        <v>1256</v>
      </c>
      <c r="F1098" s="108"/>
      <c r="G1098" s="108">
        <v>3522414</v>
      </c>
      <c r="H1098" s="16" t="s">
        <v>2959</v>
      </c>
      <c r="I1098" s="16">
        <v>0.98</v>
      </c>
      <c r="J1098" s="16">
        <v>0.78</v>
      </c>
      <c r="K1098" s="16">
        <v>0.68</v>
      </c>
      <c r="L1098" s="16">
        <v>0.45</v>
      </c>
      <c r="M1098" s="16">
        <v>0.42</v>
      </c>
      <c r="N1098" s="16">
        <v>0.22</v>
      </c>
      <c r="O1098" s="16">
        <v>0.2</v>
      </c>
      <c r="P1098" s="16">
        <v>0.15</v>
      </c>
      <c r="Q1098" s="16">
        <v>0.1</v>
      </c>
      <c r="R1098" s="107">
        <f t="shared" si="1"/>
        <v>490000</v>
      </c>
      <c r="S1098" s="107">
        <f t="shared" si="2"/>
        <v>390000</v>
      </c>
      <c r="T1098" s="107">
        <f t="shared" si="3"/>
        <v>680000</v>
      </c>
      <c r="U1098" s="107">
        <f t="shared" si="5"/>
        <v>685086.3</v>
      </c>
      <c r="AA1098" s="107">
        <f t="shared" si="4"/>
        <v>2245086.2999999998</v>
      </c>
    </row>
    <row r="1099" spans="1:27">
      <c r="A1099" s="16" t="s">
        <v>1251</v>
      </c>
      <c r="B1099" s="207">
        <v>1</v>
      </c>
      <c r="C1099" s="92">
        <v>1</v>
      </c>
      <c r="D1099" s="92"/>
      <c r="F1099" s="108"/>
      <c r="G1099" s="108">
        <v>3522414</v>
      </c>
      <c r="H1099" s="16" t="s">
        <v>2959</v>
      </c>
      <c r="I1099" s="16">
        <v>0.98</v>
      </c>
      <c r="J1099" s="16">
        <v>0.78</v>
      </c>
      <c r="K1099" s="16">
        <v>0.68</v>
      </c>
      <c r="L1099" s="16">
        <v>0.45</v>
      </c>
      <c r="M1099" s="16">
        <v>0.42</v>
      </c>
      <c r="N1099" s="16">
        <v>0.22</v>
      </c>
      <c r="O1099" s="16">
        <v>0.2</v>
      </c>
      <c r="P1099" s="16">
        <v>0.15</v>
      </c>
      <c r="Q1099" s="16">
        <v>0.1</v>
      </c>
      <c r="R1099" s="107">
        <f t="shared" si="1"/>
        <v>490000</v>
      </c>
      <c r="S1099" s="107">
        <f t="shared" si="2"/>
        <v>390000</v>
      </c>
      <c r="T1099" s="107">
        <f t="shared" si="3"/>
        <v>680000</v>
      </c>
      <c r="U1099" s="107">
        <f t="shared" si="5"/>
        <v>685086.3</v>
      </c>
      <c r="AA1099" s="107">
        <f t="shared" si="4"/>
        <v>2245086.2999999998</v>
      </c>
    </row>
    <row r="1100" spans="1:27">
      <c r="A1100" s="16" t="s">
        <v>1275</v>
      </c>
      <c r="B1100" s="207">
        <v>1</v>
      </c>
      <c r="C1100" s="92">
        <v>1</v>
      </c>
      <c r="D1100" s="16" t="s">
        <v>2715</v>
      </c>
      <c r="F1100" s="108"/>
      <c r="G1100" s="108">
        <v>3522414</v>
      </c>
      <c r="H1100" s="16" t="s">
        <v>2959</v>
      </c>
      <c r="I1100" s="16">
        <v>0.98</v>
      </c>
      <c r="J1100" s="16">
        <v>0.78</v>
      </c>
      <c r="K1100" s="16">
        <v>0.68</v>
      </c>
      <c r="L1100" s="16">
        <v>0.45</v>
      </c>
      <c r="M1100" s="16">
        <v>0.42</v>
      </c>
      <c r="N1100" s="16">
        <v>0.22</v>
      </c>
      <c r="O1100" s="16">
        <v>0.2</v>
      </c>
      <c r="P1100" s="16">
        <v>0.15</v>
      </c>
      <c r="Q1100" s="16">
        <v>0.1</v>
      </c>
      <c r="R1100" s="107">
        <f t="shared" si="1"/>
        <v>490000</v>
      </c>
      <c r="S1100" s="107">
        <f t="shared" si="2"/>
        <v>390000</v>
      </c>
      <c r="T1100" s="107">
        <f t="shared" si="3"/>
        <v>680000</v>
      </c>
      <c r="U1100" s="107">
        <f t="shared" si="5"/>
        <v>685086.3</v>
      </c>
      <c r="AA1100" s="107">
        <f t="shared" si="4"/>
        <v>2245086.2999999998</v>
      </c>
    </row>
    <row r="1101" spans="1:27">
      <c r="A1101" s="16" t="s">
        <v>1392</v>
      </c>
      <c r="B1101" s="207">
        <v>1</v>
      </c>
      <c r="C1101" s="92">
        <v>1</v>
      </c>
      <c r="F1101" s="108"/>
      <c r="G1101" s="108">
        <v>3522414</v>
      </c>
      <c r="H1101" s="16" t="s">
        <v>2959</v>
      </c>
      <c r="I1101" s="16">
        <v>0.98</v>
      </c>
      <c r="J1101" s="16">
        <v>0.78</v>
      </c>
      <c r="K1101" s="16">
        <v>0.68</v>
      </c>
      <c r="L1101" s="16">
        <v>0.45</v>
      </c>
      <c r="M1101" s="16">
        <v>0.42</v>
      </c>
      <c r="N1101" s="16">
        <v>0.22</v>
      </c>
      <c r="O1101" s="16">
        <v>0.2</v>
      </c>
      <c r="P1101" s="16">
        <v>0.15</v>
      </c>
      <c r="Q1101" s="16">
        <v>0.1</v>
      </c>
      <c r="R1101" s="107">
        <f t="shared" si="1"/>
        <v>490000</v>
      </c>
      <c r="S1101" s="107">
        <f t="shared" si="2"/>
        <v>390000</v>
      </c>
      <c r="T1101" s="107">
        <f t="shared" si="3"/>
        <v>680000</v>
      </c>
      <c r="U1101" s="107">
        <f t="shared" si="5"/>
        <v>685086.3</v>
      </c>
      <c r="AA1101" s="107">
        <f t="shared" si="4"/>
        <v>2245086.2999999998</v>
      </c>
    </row>
    <row r="1102" spans="1:27">
      <c r="A1102" s="16" t="s">
        <v>1252</v>
      </c>
      <c r="B1102" s="207">
        <v>1</v>
      </c>
      <c r="C1102" s="92">
        <v>1</v>
      </c>
      <c r="F1102" s="108"/>
      <c r="G1102" s="108">
        <v>3522414</v>
      </c>
      <c r="H1102" s="16" t="s">
        <v>2959</v>
      </c>
      <c r="I1102" s="16">
        <v>0.98</v>
      </c>
      <c r="J1102" s="16">
        <v>0.78</v>
      </c>
      <c r="K1102" s="16">
        <v>0.68</v>
      </c>
      <c r="L1102" s="16">
        <v>0.45</v>
      </c>
      <c r="M1102" s="16">
        <v>0.42</v>
      </c>
      <c r="N1102" s="16">
        <v>0.22</v>
      </c>
      <c r="O1102" s="16">
        <v>0.2</v>
      </c>
      <c r="P1102" s="16">
        <v>0.15</v>
      </c>
      <c r="Q1102" s="16">
        <v>0.1</v>
      </c>
      <c r="R1102" s="107">
        <f t="shared" si="1"/>
        <v>490000</v>
      </c>
      <c r="S1102" s="107">
        <f t="shared" si="2"/>
        <v>390000</v>
      </c>
      <c r="T1102" s="107">
        <f t="shared" si="3"/>
        <v>680000</v>
      </c>
      <c r="U1102" s="107">
        <f t="shared" si="5"/>
        <v>685086.3</v>
      </c>
      <c r="AA1102" s="107">
        <f t="shared" si="4"/>
        <v>2245086.2999999998</v>
      </c>
    </row>
    <row r="1103" spans="1:27">
      <c r="A1103" s="16" t="s">
        <v>1318</v>
      </c>
      <c r="B1103" s="207">
        <v>1</v>
      </c>
      <c r="C1103" s="92">
        <v>1</v>
      </c>
      <c r="F1103" s="108"/>
      <c r="G1103" s="108">
        <v>3522414</v>
      </c>
      <c r="H1103" s="16" t="s">
        <v>2959</v>
      </c>
      <c r="I1103" s="16">
        <v>0.98</v>
      </c>
      <c r="J1103" s="16">
        <v>0.78</v>
      </c>
      <c r="K1103" s="16">
        <v>0.68</v>
      </c>
      <c r="L1103" s="16">
        <v>0.45</v>
      </c>
      <c r="M1103" s="16">
        <v>0.42</v>
      </c>
      <c r="N1103" s="16">
        <v>0.22</v>
      </c>
      <c r="O1103" s="16">
        <v>0.2</v>
      </c>
      <c r="P1103" s="16">
        <v>0.15</v>
      </c>
      <c r="Q1103" s="16">
        <v>0.1</v>
      </c>
      <c r="R1103" s="107">
        <f t="shared" si="1"/>
        <v>490000</v>
      </c>
      <c r="S1103" s="107">
        <f t="shared" si="2"/>
        <v>390000</v>
      </c>
      <c r="T1103" s="107">
        <f t="shared" si="3"/>
        <v>680000</v>
      </c>
      <c r="U1103" s="107">
        <f t="shared" si="5"/>
        <v>685086.3</v>
      </c>
      <c r="AA1103" s="107">
        <f t="shared" si="4"/>
        <v>2245086.2999999998</v>
      </c>
    </row>
    <row r="1104" spans="1:27">
      <c r="A1104" s="16" t="s">
        <v>1399</v>
      </c>
      <c r="B1104" s="207">
        <v>1</v>
      </c>
      <c r="C1104" s="92">
        <v>1</v>
      </c>
      <c r="F1104" s="108"/>
      <c r="G1104" s="108">
        <v>3522414</v>
      </c>
      <c r="H1104" s="16" t="s">
        <v>2959</v>
      </c>
      <c r="I1104" s="16">
        <v>0.98</v>
      </c>
      <c r="J1104" s="16">
        <v>0.78</v>
      </c>
      <c r="K1104" s="16">
        <v>0.68</v>
      </c>
      <c r="L1104" s="16">
        <v>0.45</v>
      </c>
      <c r="M1104" s="16">
        <v>0.42</v>
      </c>
      <c r="N1104" s="16">
        <v>0.22</v>
      </c>
      <c r="O1104" s="16">
        <v>0.2</v>
      </c>
      <c r="P1104" s="16">
        <v>0.15</v>
      </c>
      <c r="Q1104" s="16">
        <v>0.1</v>
      </c>
      <c r="R1104" s="107">
        <f t="shared" si="1"/>
        <v>490000</v>
      </c>
      <c r="S1104" s="107">
        <f t="shared" si="2"/>
        <v>390000</v>
      </c>
      <c r="T1104" s="107">
        <f t="shared" si="3"/>
        <v>680000</v>
      </c>
      <c r="U1104" s="107">
        <f t="shared" si="5"/>
        <v>685086.3</v>
      </c>
      <c r="AA1104" s="107">
        <f t="shared" si="4"/>
        <v>2245086.2999999998</v>
      </c>
    </row>
    <row r="1105" spans="1:27">
      <c r="A1105" s="16" t="s">
        <v>1400</v>
      </c>
      <c r="B1105" s="207">
        <v>1</v>
      </c>
      <c r="C1105" s="92">
        <v>1</v>
      </c>
      <c r="F1105" s="108"/>
      <c r="G1105" s="108">
        <v>3522414</v>
      </c>
      <c r="H1105" s="16" t="s">
        <v>2959</v>
      </c>
      <c r="I1105" s="16">
        <v>0.98</v>
      </c>
      <c r="J1105" s="16">
        <v>0.78</v>
      </c>
      <c r="K1105" s="16">
        <v>0.68</v>
      </c>
      <c r="L1105" s="16">
        <v>0.45</v>
      </c>
      <c r="M1105" s="16">
        <v>0.42</v>
      </c>
      <c r="N1105" s="16">
        <v>0.22</v>
      </c>
      <c r="O1105" s="16">
        <v>0.2</v>
      </c>
      <c r="P1105" s="16">
        <v>0.15</v>
      </c>
      <c r="Q1105" s="16">
        <v>0.1</v>
      </c>
      <c r="R1105" s="107">
        <f t="shared" si="1"/>
        <v>490000</v>
      </c>
      <c r="S1105" s="107">
        <f t="shared" si="2"/>
        <v>390000</v>
      </c>
      <c r="T1105" s="107">
        <f t="shared" si="3"/>
        <v>680000</v>
      </c>
      <c r="U1105" s="107">
        <f t="shared" si="5"/>
        <v>685086.3</v>
      </c>
      <c r="AA1105" s="107">
        <f t="shared" si="4"/>
        <v>2245086.2999999998</v>
      </c>
    </row>
    <row r="1106" spans="1:27">
      <c r="A1106" s="16" t="s">
        <v>1261</v>
      </c>
      <c r="B1106" s="207">
        <v>1</v>
      </c>
      <c r="C1106" s="92">
        <v>1</v>
      </c>
      <c r="F1106" s="108"/>
      <c r="G1106" s="108">
        <v>3522414</v>
      </c>
      <c r="H1106" s="16" t="s">
        <v>2959</v>
      </c>
      <c r="I1106" s="16">
        <v>0.98</v>
      </c>
      <c r="J1106" s="16">
        <v>0.78</v>
      </c>
      <c r="K1106" s="16">
        <v>0.68</v>
      </c>
      <c r="L1106" s="16">
        <v>0.45</v>
      </c>
      <c r="M1106" s="16">
        <v>0.42</v>
      </c>
      <c r="N1106" s="16">
        <v>0.22</v>
      </c>
      <c r="O1106" s="16">
        <v>0.2</v>
      </c>
      <c r="P1106" s="16">
        <v>0.15</v>
      </c>
      <c r="Q1106" s="16">
        <v>0.1</v>
      </c>
      <c r="R1106" s="107">
        <f t="shared" si="1"/>
        <v>490000</v>
      </c>
      <c r="S1106" s="107">
        <f t="shared" si="2"/>
        <v>390000</v>
      </c>
      <c r="T1106" s="107">
        <f t="shared" si="3"/>
        <v>680000</v>
      </c>
      <c r="U1106" s="107">
        <f t="shared" si="5"/>
        <v>685086.3</v>
      </c>
      <c r="AA1106" s="107">
        <f t="shared" si="4"/>
        <v>2245086.2999999998</v>
      </c>
    </row>
    <row r="1107" spans="1:27">
      <c r="A1107" s="16" t="s">
        <v>116</v>
      </c>
      <c r="B1107" s="207">
        <v>1</v>
      </c>
      <c r="C1107" s="92">
        <v>1</v>
      </c>
      <c r="D1107" s="92"/>
      <c r="F1107" s="108"/>
      <c r="G1107" s="108">
        <v>3522414</v>
      </c>
      <c r="H1107" s="16" t="s">
        <v>2959</v>
      </c>
      <c r="I1107" s="16">
        <v>0.98</v>
      </c>
      <c r="J1107" s="16">
        <v>0.78</v>
      </c>
      <c r="K1107" s="16">
        <v>0.68</v>
      </c>
      <c r="L1107" s="16">
        <v>0.45</v>
      </c>
      <c r="M1107" s="16">
        <v>0.42</v>
      </c>
      <c r="N1107" s="16">
        <v>0.22</v>
      </c>
      <c r="O1107" s="16">
        <v>0.2</v>
      </c>
      <c r="P1107" s="16">
        <v>0.15</v>
      </c>
      <c r="Q1107" s="16">
        <v>0.1</v>
      </c>
      <c r="R1107" s="107">
        <f t="shared" si="1"/>
        <v>490000</v>
      </c>
      <c r="S1107" s="107">
        <f t="shared" si="2"/>
        <v>390000</v>
      </c>
      <c r="T1107" s="107">
        <f t="shared" si="3"/>
        <v>680000</v>
      </c>
      <c r="U1107" s="107">
        <f t="shared" si="5"/>
        <v>685086.3</v>
      </c>
      <c r="AA1107" s="107">
        <f t="shared" si="4"/>
        <v>2245086.2999999998</v>
      </c>
    </row>
    <row r="1108" spans="1:27">
      <c r="A1108" s="16" t="s">
        <v>1402</v>
      </c>
      <c r="B1108" s="207">
        <v>1</v>
      </c>
      <c r="C1108" s="92">
        <v>1</v>
      </c>
      <c r="F1108" s="108"/>
      <c r="G1108" s="108">
        <v>3522414</v>
      </c>
      <c r="H1108" s="16" t="s">
        <v>2959</v>
      </c>
      <c r="I1108" s="16">
        <v>0.98</v>
      </c>
      <c r="J1108" s="16">
        <v>0.78</v>
      </c>
      <c r="K1108" s="16">
        <v>0.68</v>
      </c>
      <c r="L1108" s="16">
        <v>0.45</v>
      </c>
      <c r="M1108" s="16">
        <v>0.42</v>
      </c>
      <c r="N1108" s="16">
        <v>0.22</v>
      </c>
      <c r="O1108" s="16">
        <v>0.2</v>
      </c>
      <c r="P1108" s="16">
        <v>0.15</v>
      </c>
      <c r="Q1108" s="16">
        <v>0.1</v>
      </c>
      <c r="R1108" s="107">
        <f t="shared" si="1"/>
        <v>490000</v>
      </c>
      <c r="S1108" s="107">
        <f t="shared" si="2"/>
        <v>390000</v>
      </c>
      <c r="T1108" s="107">
        <f t="shared" si="3"/>
        <v>680000</v>
      </c>
      <c r="U1108" s="107">
        <f t="shared" si="5"/>
        <v>685086.3</v>
      </c>
      <c r="AA1108" s="107">
        <f t="shared" si="4"/>
        <v>2245086.2999999998</v>
      </c>
    </row>
    <row r="1109" spans="1:27">
      <c r="A1109" s="16" t="s">
        <v>1319</v>
      </c>
      <c r="B1109" s="207">
        <v>1</v>
      </c>
      <c r="C1109" s="92">
        <v>1</v>
      </c>
      <c r="F1109" s="108"/>
      <c r="G1109" s="108">
        <v>3522414</v>
      </c>
      <c r="H1109" s="16" t="s">
        <v>2959</v>
      </c>
      <c r="I1109" s="16">
        <v>0.98</v>
      </c>
      <c r="J1109" s="16">
        <v>0.78</v>
      </c>
      <c r="K1109" s="16">
        <v>0.68</v>
      </c>
      <c r="L1109" s="16">
        <v>0.45</v>
      </c>
      <c r="M1109" s="16">
        <v>0.42</v>
      </c>
      <c r="N1109" s="16">
        <v>0.22</v>
      </c>
      <c r="O1109" s="16">
        <v>0.2</v>
      </c>
      <c r="P1109" s="16">
        <v>0.15</v>
      </c>
      <c r="Q1109" s="16">
        <v>0.1</v>
      </c>
      <c r="R1109" s="107">
        <f t="shared" si="1"/>
        <v>490000</v>
      </c>
      <c r="S1109" s="107">
        <f t="shared" si="2"/>
        <v>390000</v>
      </c>
      <c r="T1109" s="107">
        <f t="shared" si="3"/>
        <v>680000</v>
      </c>
      <c r="U1109" s="107">
        <f t="shared" si="5"/>
        <v>685086.3</v>
      </c>
      <c r="AA1109" s="107">
        <f t="shared" si="4"/>
        <v>2245086.2999999998</v>
      </c>
    </row>
    <row r="1110" spans="1:27">
      <c r="A1110" s="16" t="s">
        <v>1404</v>
      </c>
      <c r="B1110" s="207">
        <v>1</v>
      </c>
      <c r="C1110" s="92">
        <v>1</v>
      </c>
      <c r="F1110" s="108"/>
      <c r="G1110" s="108">
        <v>3522414</v>
      </c>
      <c r="H1110" s="16" t="s">
        <v>2959</v>
      </c>
      <c r="I1110" s="16">
        <v>0.98</v>
      </c>
      <c r="J1110" s="16">
        <v>0.78</v>
      </c>
      <c r="K1110" s="16">
        <v>0.68</v>
      </c>
      <c r="L1110" s="16">
        <v>0.45</v>
      </c>
      <c r="M1110" s="16">
        <v>0.42</v>
      </c>
      <c r="N1110" s="16">
        <v>0.22</v>
      </c>
      <c r="O1110" s="16">
        <v>0.2</v>
      </c>
      <c r="P1110" s="16">
        <v>0.15</v>
      </c>
      <c r="Q1110" s="16">
        <v>0.1</v>
      </c>
      <c r="R1110" s="107">
        <f t="shared" si="1"/>
        <v>490000</v>
      </c>
      <c r="S1110" s="107">
        <f t="shared" si="2"/>
        <v>390000</v>
      </c>
      <c r="T1110" s="107">
        <f t="shared" si="3"/>
        <v>680000</v>
      </c>
      <c r="U1110" s="107">
        <f t="shared" si="5"/>
        <v>685086.3</v>
      </c>
      <c r="AA1110" s="107">
        <f t="shared" si="4"/>
        <v>2245086.2999999998</v>
      </c>
    </row>
    <row r="1111" spans="1:27">
      <c r="A1111" s="16" t="s">
        <v>1321</v>
      </c>
      <c r="B1111" s="207">
        <v>1</v>
      </c>
      <c r="C1111" s="92">
        <v>1</v>
      </c>
      <c r="F1111" s="108"/>
      <c r="G1111" s="108">
        <v>3522414</v>
      </c>
      <c r="H1111" s="16" t="s">
        <v>2959</v>
      </c>
      <c r="I1111" s="16">
        <v>0.98</v>
      </c>
      <c r="J1111" s="16">
        <v>0.78</v>
      </c>
      <c r="K1111" s="16">
        <v>0.68</v>
      </c>
      <c r="L1111" s="16">
        <v>0.45</v>
      </c>
      <c r="M1111" s="16">
        <v>0.42</v>
      </c>
      <c r="N1111" s="16">
        <v>0.22</v>
      </c>
      <c r="O1111" s="16">
        <v>0.2</v>
      </c>
      <c r="P1111" s="16">
        <v>0.15</v>
      </c>
      <c r="Q1111" s="16">
        <v>0.1</v>
      </c>
      <c r="R1111" s="107">
        <f t="shared" si="1"/>
        <v>490000</v>
      </c>
      <c r="S1111" s="107">
        <f t="shared" si="2"/>
        <v>390000</v>
      </c>
      <c r="T1111" s="107">
        <f t="shared" si="3"/>
        <v>680000</v>
      </c>
      <c r="U1111" s="107">
        <f t="shared" si="5"/>
        <v>685086.3</v>
      </c>
      <c r="AA1111" s="107">
        <f t="shared" si="4"/>
        <v>2245086.2999999998</v>
      </c>
    </row>
    <row r="1112" spans="1:27">
      <c r="A1112" s="16" t="s">
        <v>1322</v>
      </c>
      <c r="B1112" s="207">
        <v>1</v>
      </c>
      <c r="C1112" s="92">
        <v>1</v>
      </c>
      <c r="F1112" s="108"/>
      <c r="G1112" s="108">
        <v>3522414</v>
      </c>
      <c r="H1112" s="16" t="s">
        <v>2959</v>
      </c>
      <c r="I1112" s="16">
        <v>0.98</v>
      </c>
      <c r="J1112" s="16">
        <v>0.78</v>
      </c>
      <c r="K1112" s="16">
        <v>0.68</v>
      </c>
      <c r="L1112" s="16">
        <v>0.45</v>
      </c>
      <c r="M1112" s="16">
        <v>0.42</v>
      </c>
      <c r="N1112" s="16">
        <v>0.22</v>
      </c>
      <c r="O1112" s="16">
        <v>0.2</v>
      </c>
      <c r="P1112" s="16">
        <v>0.15</v>
      </c>
      <c r="Q1112" s="16">
        <v>0.1</v>
      </c>
      <c r="R1112" s="107">
        <f t="shared" si="1"/>
        <v>490000</v>
      </c>
      <c r="S1112" s="107">
        <f t="shared" si="2"/>
        <v>390000</v>
      </c>
      <c r="T1112" s="107">
        <f t="shared" si="3"/>
        <v>680000</v>
      </c>
      <c r="U1112" s="107">
        <f t="shared" si="5"/>
        <v>685086.3</v>
      </c>
      <c r="AA1112" s="107">
        <f t="shared" si="4"/>
        <v>2245086.2999999998</v>
      </c>
    </row>
    <row r="1113" spans="1:27">
      <c r="A1113" s="16" t="s">
        <v>1323</v>
      </c>
      <c r="B1113" s="207">
        <v>1</v>
      </c>
      <c r="C1113" s="92">
        <v>1</v>
      </c>
      <c r="F1113" s="108"/>
      <c r="G1113" s="108">
        <v>3522414</v>
      </c>
      <c r="H1113" s="16" t="s">
        <v>2959</v>
      </c>
      <c r="I1113" s="16">
        <v>0.98</v>
      </c>
      <c r="J1113" s="16">
        <v>0.78</v>
      </c>
      <c r="K1113" s="16">
        <v>0.68</v>
      </c>
      <c r="L1113" s="16">
        <v>0.45</v>
      </c>
      <c r="M1113" s="16">
        <v>0.42</v>
      </c>
      <c r="N1113" s="16">
        <v>0.22</v>
      </c>
      <c r="O1113" s="16">
        <v>0.2</v>
      </c>
      <c r="P1113" s="16">
        <v>0.15</v>
      </c>
      <c r="Q1113" s="16">
        <v>0.1</v>
      </c>
      <c r="R1113" s="107">
        <f t="shared" si="1"/>
        <v>490000</v>
      </c>
      <c r="S1113" s="107">
        <f t="shared" si="2"/>
        <v>390000</v>
      </c>
      <c r="T1113" s="107">
        <f t="shared" si="3"/>
        <v>680000</v>
      </c>
      <c r="U1113" s="107">
        <f t="shared" si="5"/>
        <v>685086.3</v>
      </c>
      <c r="AA1113" s="107">
        <f t="shared" si="4"/>
        <v>2245086.2999999998</v>
      </c>
    </row>
    <row r="1114" spans="1:27">
      <c r="A1114" s="16" t="s">
        <v>1336</v>
      </c>
      <c r="B1114" s="207">
        <v>1</v>
      </c>
      <c r="C1114" s="92">
        <v>1</v>
      </c>
      <c r="F1114" s="108"/>
      <c r="G1114" s="108">
        <v>3522414</v>
      </c>
      <c r="H1114" s="16" t="s">
        <v>2959</v>
      </c>
      <c r="I1114" s="16">
        <v>0.98</v>
      </c>
      <c r="J1114" s="16">
        <v>0.78</v>
      </c>
      <c r="K1114" s="16">
        <v>0.68</v>
      </c>
      <c r="L1114" s="16">
        <v>0.45</v>
      </c>
      <c r="M1114" s="16">
        <v>0.42</v>
      </c>
      <c r="N1114" s="16">
        <v>0.22</v>
      </c>
      <c r="O1114" s="16">
        <v>0.2</v>
      </c>
      <c r="P1114" s="16">
        <v>0.15</v>
      </c>
      <c r="Q1114" s="16">
        <v>0.1</v>
      </c>
      <c r="R1114" s="107">
        <f t="shared" si="1"/>
        <v>490000</v>
      </c>
      <c r="S1114" s="107">
        <f t="shared" si="2"/>
        <v>390000</v>
      </c>
      <c r="T1114" s="107">
        <f t="shared" si="3"/>
        <v>680000</v>
      </c>
      <c r="U1114" s="107">
        <f t="shared" si="5"/>
        <v>685086.3</v>
      </c>
      <c r="AA1114" s="107">
        <f t="shared" si="4"/>
        <v>2245086.2999999998</v>
      </c>
    </row>
    <row r="1115" spans="1:27">
      <c r="A1115" s="16" t="s">
        <v>694</v>
      </c>
      <c r="B1115" s="207">
        <v>1</v>
      </c>
      <c r="C1115" s="92">
        <v>1</v>
      </c>
      <c r="F1115" s="108"/>
      <c r="G1115" s="108">
        <v>3522414</v>
      </c>
      <c r="H1115" s="16" t="s">
        <v>2959</v>
      </c>
      <c r="I1115" s="16">
        <v>0.98</v>
      </c>
      <c r="J1115" s="16">
        <v>0.78</v>
      </c>
      <c r="K1115" s="16">
        <v>0.68</v>
      </c>
      <c r="L1115" s="16">
        <v>0.45</v>
      </c>
      <c r="M1115" s="16">
        <v>0.42</v>
      </c>
      <c r="N1115" s="16">
        <v>0.22</v>
      </c>
      <c r="O1115" s="16">
        <v>0.2</v>
      </c>
      <c r="P1115" s="16">
        <v>0.15</v>
      </c>
      <c r="Q1115" s="16">
        <v>0.1</v>
      </c>
      <c r="R1115" s="107">
        <f t="shared" si="1"/>
        <v>490000</v>
      </c>
      <c r="S1115" s="107">
        <f t="shared" si="2"/>
        <v>390000</v>
      </c>
      <c r="T1115" s="107">
        <f t="shared" si="3"/>
        <v>680000</v>
      </c>
      <c r="U1115" s="107">
        <f t="shared" si="5"/>
        <v>685086.3</v>
      </c>
      <c r="AA1115" s="107">
        <f t="shared" si="4"/>
        <v>2245086.2999999998</v>
      </c>
    </row>
    <row r="1116" spans="1:27">
      <c r="A1116" s="16" t="s">
        <v>1326</v>
      </c>
      <c r="B1116" s="207">
        <v>1</v>
      </c>
      <c r="C1116" s="92">
        <v>1</v>
      </c>
      <c r="F1116" s="108"/>
      <c r="G1116" s="108">
        <v>3522414</v>
      </c>
      <c r="H1116" s="16" t="s">
        <v>2959</v>
      </c>
      <c r="I1116" s="16">
        <v>0.98</v>
      </c>
      <c r="J1116" s="16">
        <v>0.78</v>
      </c>
      <c r="K1116" s="16">
        <v>0.68</v>
      </c>
      <c r="L1116" s="16">
        <v>0.45</v>
      </c>
      <c r="M1116" s="16">
        <v>0.42</v>
      </c>
      <c r="N1116" s="16">
        <v>0.22</v>
      </c>
      <c r="O1116" s="16">
        <v>0.2</v>
      </c>
      <c r="P1116" s="16">
        <v>0.15</v>
      </c>
      <c r="Q1116" s="16">
        <v>0.1</v>
      </c>
      <c r="R1116" s="107">
        <f t="shared" si="1"/>
        <v>490000</v>
      </c>
      <c r="S1116" s="107">
        <f t="shared" si="2"/>
        <v>390000</v>
      </c>
      <c r="T1116" s="107">
        <f t="shared" si="3"/>
        <v>680000</v>
      </c>
      <c r="U1116" s="107">
        <f t="shared" si="5"/>
        <v>685086.3</v>
      </c>
      <c r="AA1116" s="107">
        <f t="shared" si="4"/>
        <v>2245086.2999999998</v>
      </c>
    </row>
    <row r="1118" spans="1:27">
      <c r="F1118" s="16" t="s">
        <v>11</v>
      </c>
      <c r="AA1118" s="107">
        <f>SUM(AA1082:AA1116)</f>
        <v>122237502.69999991</v>
      </c>
    </row>
  </sheetData>
  <sortState ref="A1044:Q1080">
    <sortCondition descending="1" ref="F1044:F1080"/>
  </sortState>
  <mergeCells count="2">
    <mergeCell ref="I1080:Q1080"/>
    <mergeCell ref="R1080:AA1080"/>
  </mergeCells>
  <phoneticPr fontId="15" type="noConversion"/>
  <hyperlinks>
    <hyperlink ref="F1081" r:id="rId1"/>
  </hyperlinks>
  <pageMargins left="0.7" right="0.7" top="0.75" bottom="0.75" header="0.3" footer="0.3"/>
  <pageSetup orientation="landscape"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3"/>
  <sheetViews>
    <sheetView showGridLines="0" view="pageLayout" workbookViewId="0">
      <selection activeCell="A6" sqref="A6"/>
    </sheetView>
  </sheetViews>
  <sheetFormatPr baseColWidth="10" defaultRowHeight="15" x14ac:dyDescent="0"/>
  <cols>
    <col min="1" max="1" width="77.1640625" style="130" customWidth="1"/>
  </cols>
  <sheetData>
    <row r="2" spans="1:1">
      <c r="A2" s="300" t="s">
        <v>3034</v>
      </c>
    </row>
    <row r="3" spans="1:1" ht="18">
      <c r="A3" s="149" t="str">
        <f>CONCATENATE(VLOOKUP($A$2,'Table of Contents'!$B:$E,4,FALSE)," ",$A$2)</f>
        <v>4.2 Via Licensing LTE</v>
      </c>
    </row>
    <row r="4" spans="1:1">
      <c r="A4" t="str">
        <f>VLOOKUP($A$2,'Table of Contents'!$B:$E,3,FALSE)</f>
        <v>Pool</v>
      </c>
    </row>
    <row r="5" spans="1:1">
      <c r="A5" s="148" t="str">
        <f>VLOOKUP($A$2,'Table of Contents'!$B:$E,2,FALSE)</f>
        <v>Approximated</v>
      </c>
    </row>
    <row r="7" spans="1:1">
      <c r="A7" s="44" t="s">
        <v>3031</v>
      </c>
    </row>
    <row r="8" spans="1:1" ht="75">
      <c r="A8" s="130" t="s">
        <v>3120</v>
      </c>
    </row>
    <row r="9" spans="1:1" ht="30">
      <c r="A9" s="130" t="s">
        <v>3121</v>
      </c>
    </row>
    <row r="11" spans="1:1">
      <c r="A11" s="82" t="s">
        <v>3068</v>
      </c>
    </row>
    <row r="12" spans="1:1" ht="30">
      <c r="A12" s="130" t="s">
        <v>3117</v>
      </c>
    </row>
    <row r="13" spans="1:1" ht="45">
      <c r="A13" s="130" t="s">
        <v>3118</v>
      </c>
    </row>
    <row r="15" spans="1:1">
      <c r="A15" s="44" t="s">
        <v>2092</v>
      </c>
    </row>
    <row r="16" spans="1:1" ht="60">
      <c r="A16" s="136" t="s">
        <v>3122</v>
      </c>
    </row>
    <row r="18" spans="1:1" ht="30">
      <c r="A18" s="130" t="s">
        <v>3119</v>
      </c>
    </row>
    <row r="20" spans="1:1">
      <c r="A20" s="44" t="s">
        <v>3067</v>
      </c>
    </row>
    <row r="21" spans="1:1" ht="45">
      <c r="A21" s="130" t="s">
        <v>3123</v>
      </c>
    </row>
    <row r="29" spans="1:1">
      <c r="A29"/>
    </row>
    <row r="30" spans="1:1">
      <c r="A30"/>
    </row>
    <row r="31" spans="1:1">
      <c r="A31" s="44"/>
    </row>
    <row r="32" spans="1:1">
      <c r="A32"/>
    </row>
    <row r="33" spans="1:1">
      <c r="A33"/>
    </row>
  </sheetData>
  <phoneticPr fontId="15" type="noConversion"/>
  <hyperlinks>
    <hyperlink ref="A16" r:id="rId1" display="Via details their royalty rates"/>
  </hyperlinks>
  <pageMargins left="0.7" right="0.7" top="0.75" bottom="0.75" header="0.3" footer="0.3"/>
  <pageSetup orientation="portrait"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069"/>
  <sheetViews>
    <sheetView showGridLines="0" view="pageLayout" workbookViewId="0">
      <selection activeCell="A4" sqref="A4"/>
    </sheetView>
  </sheetViews>
  <sheetFormatPr baseColWidth="10" defaultRowHeight="15" x14ac:dyDescent="0"/>
  <cols>
    <col min="1" max="1" width="110.33203125" customWidth="1"/>
    <col min="2" max="2" width="33" customWidth="1"/>
    <col min="3" max="3" width="21.83203125" customWidth="1"/>
    <col min="4" max="4" width="14.83203125" customWidth="1"/>
    <col min="5" max="5" width="20.5" customWidth="1"/>
    <col min="6" max="6" width="18.33203125" customWidth="1"/>
    <col min="8" max="8" width="17.6640625" customWidth="1"/>
    <col min="10" max="10" width="28.1640625" customWidth="1"/>
    <col min="11" max="11" width="28.5" customWidth="1"/>
    <col min="12" max="12" width="33.83203125" customWidth="1"/>
    <col min="13" max="13" width="21" customWidth="1"/>
    <col min="14" max="15" width="16.83203125" customWidth="1"/>
    <col min="16" max="16" width="24.5" customWidth="1"/>
    <col min="17" max="19" width="16.83203125" customWidth="1"/>
  </cols>
  <sheetData>
    <row r="2" spans="1:1">
      <c r="A2" s="246" t="s">
        <v>2117</v>
      </c>
    </row>
    <row r="3" spans="1:1" ht="18">
      <c r="A3" s="147" t="str">
        <f>CONCATENATE(VLOOKUP($A$2,'Table of Contents'!$B:$E,4,FALSE)," ",$A$2)</f>
        <v>4.3 MPEGLA MPEG4</v>
      </c>
    </row>
    <row r="4" spans="1:1">
      <c r="A4" t="str">
        <f>VLOOKUP($A$2,'Table of Contents'!$B:$E,3,FALSE)</f>
        <v>Pool</v>
      </c>
    </row>
    <row r="5" spans="1:1">
      <c r="A5" s="148" t="str">
        <f>VLOOKUP($A$2,'Table of Contents'!$B:$E,2,FALSE)</f>
        <v>Documented</v>
      </c>
    </row>
    <row r="7" spans="1:1">
      <c r="A7" t="s">
        <v>1211</v>
      </c>
    </row>
    <row r="8" spans="1:1" ht="16" thickBot="1"/>
    <row r="9" spans="1:1" ht="16" thickTop="1">
      <c r="A9" s="88" t="s">
        <v>1445</v>
      </c>
    </row>
    <row r="10" spans="1:1">
      <c r="A10" s="409" t="s">
        <v>840</v>
      </c>
    </row>
    <row r="11" spans="1:1">
      <c r="A11" s="409"/>
    </row>
    <row r="12" spans="1:1">
      <c r="A12" s="409"/>
    </row>
    <row r="13" spans="1:1">
      <c r="A13" s="409"/>
    </row>
    <row r="14" spans="1:1">
      <c r="A14" s="409"/>
    </row>
    <row r="15" spans="1:1">
      <c r="A15" s="409"/>
    </row>
    <row r="16" spans="1:1">
      <c r="A16" s="409"/>
    </row>
    <row r="17" spans="1:1">
      <c r="A17" s="409"/>
    </row>
    <row r="18" spans="1:1">
      <c r="A18" s="409"/>
    </row>
    <row r="19" spans="1:1">
      <c r="A19" s="86"/>
    </row>
    <row r="20" spans="1:1">
      <c r="A20" s="87" t="s">
        <v>1206</v>
      </c>
    </row>
    <row r="21" spans="1:1">
      <c r="A21" s="87"/>
    </row>
    <row r="22" spans="1:1">
      <c r="A22" s="409" t="s">
        <v>1207</v>
      </c>
    </row>
    <row r="23" spans="1:1">
      <c r="A23" s="409"/>
    </row>
    <row r="24" spans="1:1">
      <c r="A24" s="409"/>
    </row>
    <row r="25" spans="1:1">
      <c r="A25" s="409"/>
    </row>
    <row r="26" spans="1:1">
      <c r="A26" s="87"/>
    </row>
    <row r="27" spans="1:1">
      <c r="A27" s="87"/>
    </row>
    <row r="28" spans="1:1">
      <c r="A28" s="409" t="s">
        <v>1208</v>
      </c>
    </row>
    <row r="29" spans="1:1">
      <c r="A29" s="409"/>
    </row>
    <row r="30" spans="1:1">
      <c r="A30" s="409"/>
    </row>
    <row r="31" spans="1:1">
      <c r="A31" s="409"/>
    </row>
    <row r="32" spans="1:1">
      <c r="A32" s="409"/>
    </row>
    <row r="33" spans="1:8">
      <c r="A33" s="87"/>
    </row>
    <row r="34" spans="1:8">
      <c r="A34" s="409" t="s">
        <v>1209</v>
      </c>
    </row>
    <row r="35" spans="1:8">
      <c r="A35" s="409"/>
    </row>
    <row r="36" spans="1:8">
      <c r="A36" s="409"/>
      <c r="H36" t="s">
        <v>11</v>
      </c>
    </row>
    <row r="37" spans="1:8">
      <c r="A37" s="409"/>
    </row>
    <row r="38" spans="1:8">
      <c r="A38" s="409"/>
    </row>
    <row r="39" spans="1:8">
      <c r="A39" s="409" t="s">
        <v>1210</v>
      </c>
    </row>
    <row r="40" spans="1:8">
      <c r="A40" s="409"/>
    </row>
    <row r="41" spans="1:8">
      <c r="A41" s="409"/>
    </row>
    <row r="42" spans="1:8" ht="15" customHeight="1">
      <c r="A42" s="409"/>
    </row>
    <row r="43" spans="1:8" ht="16" thickBot="1">
      <c r="A43" s="410"/>
    </row>
    <row r="44" spans="1:8" ht="16" thickTop="1">
      <c r="A44" s="81" t="s">
        <v>11</v>
      </c>
    </row>
    <row r="45" spans="1:8" ht="16" thickBot="1"/>
    <row r="46" spans="1:8" ht="16" thickTop="1">
      <c r="A46" s="88" t="s">
        <v>1212</v>
      </c>
    </row>
    <row r="47" spans="1:8">
      <c r="A47" s="87" t="s">
        <v>209</v>
      </c>
    </row>
    <row r="48" spans="1:8">
      <c r="A48" s="87" t="s">
        <v>841</v>
      </c>
    </row>
    <row r="49" spans="1:1">
      <c r="A49" s="87" t="s">
        <v>842</v>
      </c>
    </row>
    <row r="50" spans="1:1">
      <c r="A50" s="87" t="s">
        <v>843</v>
      </c>
    </row>
    <row r="51" spans="1:1">
      <c r="A51" s="87" t="s">
        <v>844</v>
      </c>
    </row>
    <row r="52" spans="1:1">
      <c r="A52" s="87" t="s">
        <v>422</v>
      </c>
    </row>
    <row r="53" spans="1:1">
      <c r="A53" s="87" t="s">
        <v>210</v>
      </c>
    </row>
    <row r="54" spans="1:1">
      <c r="A54" s="87" t="s">
        <v>444</v>
      </c>
    </row>
    <row r="55" spans="1:1">
      <c r="A55" s="87" t="s">
        <v>474</v>
      </c>
    </row>
    <row r="56" spans="1:1">
      <c r="A56" s="87" t="s">
        <v>212</v>
      </c>
    </row>
    <row r="57" spans="1:1">
      <c r="A57" s="87" t="s">
        <v>526</v>
      </c>
    </row>
    <row r="58" spans="1:1">
      <c r="A58" s="87" t="s">
        <v>845</v>
      </c>
    </row>
    <row r="59" spans="1:1">
      <c r="A59" s="87" t="s">
        <v>846</v>
      </c>
    </row>
    <row r="60" spans="1:1">
      <c r="A60" s="87" t="s">
        <v>575</v>
      </c>
    </row>
    <row r="61" spans="1:1">
      <c r="A61" s="87" t="s">
        <v>847</v>
      </c>
    </row>
    <row r="62" spans="1:1">
      <c r="A62" s="87" t="s">
        <v>848</v>
      </c>
    </row>
    <row r="63" spans="1:1">
      <c r="A63" s="87" t="s">
        <v>213</v>
      </c>
    </row>
    <row r="64" spans="1:1">
      <c r="A64" s="87" t="s">
        <v>849</v>
      </c>
    </row>
    <row r="65" spans="1:1">
      <c r="A65" s="87" t="s">
        <v>850</v>
      </c>
    </row>
    <row r="66" spans="1:1">
      <c r="A66" s="87" t="s">
        <v>672</v>
      </c>
    </row>
    <row r="67" spans="1:1">
      <c r="A67" s="87" t="s">
        <v>851</v>
      </c>
    </row>
    <row r="68" spans="1:1">
      <c r="A68" s="87" t="s">
        <v>214</v>
      </c>
    </row>
    <row r="69" spans="1:1">
      <c r="A69" s="87" t="s">
        <v>694</v>
      </c>
    </row>
    <row r="70" spans="1:1">
      <c r="A70" s="87" t="s">
        <v>705</v>
      </c>
    </row>
    <row r="71" spans="1:1">
      <c r="A71" s="87" t="s">
        <v>852</v>
      </c>
    </row>
    <row r="72" spans="1:1">
      <c r="A72" s="87" t="s">
        <v>853</v>
      </c>
    </row>
    <row r="73" spans="1:1">
      <c r="A73" s="87" t="s">
        <v>854</v>
      </c>
    </row>
    <row r="74" spans="1:1">
      <c r="A74" s="87" t="s">
        <v>776</v>
      </c>
    </row>
    <row r="75" spans="1:1">
      <c r="A75" s="87" t="s">
        <v>855</v>
      </c>
    </row>
    <row r="76" spans="1:1" ht="16" thickBot="1">
      <c r="A76" s="89" t="s">
        <v>856</v>
      </c>
    </row>
    <row r="77" spans="1:1" ht="17" thickTop="1" thickBot="1"/>
    <row r="78" spans="1:1" ht="16" thickTop="1">
      <c r="A78" s="88" t="s">
        <v>1214</v>
      </c>
    </row>
    <row r="79" spans="1:1">
      <c r="A79" s="86" t="s">
        <v>1215</v>
      </c>
    </row>
    <row r="80" spans="1:1">
      <c r="A80" s="87" t="s">
        <v>1216</v>
      </c>
    </row>
    <row r="81" spans="1:1">
      <c r="A81" s="87" t="s">
        <v>1217</v>
      </c>
    </row>
    <row r="82" spans="1:1">
      <c r="A82" s="87" t="s">
        <v>1236</v>
      </c>
    </row>
    <row r="83" spans="1:1">
      <c r="A83" s="87" t="s">
        <v>1237</v>
      </c>
    </row>
    <row r="84" spans="1:1">
      <c r="A84" s="87" t="s">
        <v>1238</v>
      </c>
    </row>
    <row r="85" spans="1:1">
      <c r="A85" s="87"/>
    </row>
    <row r="86" spans="1:1">
      <c r="A86" s="87" t="s">
        <v>1218</v>
      </c>
    </row>
    <row r="87" spans="1:1">
      <c r="A87" s="87" t="s">
        <v>1219</v>
      </c>
    </row>
    <row r="88" spans="1:1">
      <c r="A88" s="87"/>
    </row>
    <row r="89" spans="1:1">
      <c r="A89" s="87" t="s">
        <v>1220</v>
      </c>
    </row>
    <row r="90" spans="1:1">
      <c r="A90" s="87" t="s">
        <v>1221</v>
      </c>
    </row>
    <row r="91" spans="1:1">
      <c r="A91" s="87" t="s">
        <v>1222</v>
      </c>
    </row>
    <row r="92" spans="1:1">
      <c r="A92" s="87" t="s">
        <v>1223</v>
      </c>
    </row>
    <row r="93" spans="1:1">
      <c r="A93" s="90" t="s">
        <v>1224</v>
      </c>
    </row>
    <row r="94" spans="1:1">
      <c r="A94" s="90" t="s">
        <v>1225</v>
      </c>
    </row>
    <row r="95" spans="1:1">
      <c r="A95" s="87" t="s">
        <v>1226</v>
      </c>
    </row>
    <row r="96" spans="1:1">
      <c r="A96" s="87" t="s">
        <v>1227</v>
      </c>
    </row>
    <row r="97" spans="1:1">
      <c r="A97" s="87" t="s">
        <v>1222</v>
      </c>
    </row>
    <row r="98" spans="1:1">
      <c r="A98" s="87" t="s">
        <v>1228</v>
      </c>
    </row>
    <row r="99" spans="1:1">
      <c r="A99" s="90" t="s">
        <v>1224</v>
      </c>
    </row>
    <row r="100" spans="1:1">
      <c r="A100" s="90" t="s">
        <v>1225</v>
      </c>
    </row>
    <row r="101" spans="1:1">
      <c r="A101" s="90" t="s">
        <v>1229</v>
      </c>
    </row>
    <row r="102" spans="1:1">
      <c r="A102" s="90" t="s">
        <v>1230</v>
      </c>
    </row>
    <row r="103" spans="1:1">
      <c r="A103" s="87" t="s">
        <v>1231</v>
      </c>
    </row>
    <row r="104" spans="1:1">
      <c r="A104" s="87" t="s">
        <v>1232</v>
      </c>
    </row>
    <row r="105" spans="1:1">
      <c r="A105" s="87" t="s">
        <v>1233</v>
      </c>
    </row>
    <row r="106" spans="1:1">
      <c r="A106" s="87" t="s">
        <v>1234</v>
      </c>
    </row>
    <row r="107" spans="1:1" ht="16" thickBot="1">
      <c r="A107" s="89" t="s">
        <v>1235</v>
      </c>
    </row>
    <row r="108" spans="1:1" ht="16" thickTop="1">
      <c r="A108" s="16"/>
    </row>
    <row r="109" spans="1:1" ht="16" thickBot="1"/>
    <row r="110" spans="1:1" ht="16" thickTop="1">
      <c r="A110" s="88" t="s">
        <v>208</v>
      </c>
    </row>
    <row r="111" spans="1:1">
      <c r="A111" s="87" t="s">
        <v>1446</v>
      </c>
    </row>
    <row r="112" spans="1:1">
      <c r="A112" s="87" t="s">
        <v>1447</v>
      </c>
    </row>
    <row r="113" spans="1:1">
      <c r="A113" s="87" t="s">
        <v>1448</v>
      </c>
    </row>
    <row r="114" spans="1:1">
      <c r="A114" s="87" t="s">
        <v>1449</v>
      </c>
    </row>
    <row r="115" spans="1:1">
      <c r="A115" s="87" t="s">
        <v>1450</v>
      </c>
    </row>
    <row r="116" spans="1:1" ht="16" thickBot="1">
      <c r="A116" s="89" t="s">
        <v>1451</v>
      </c>
    </row>
    <row r="117" spans="1:1" ht="16" thickTop="1"/>
    <row r="118" spans="1:1" ht="16" thickBot="1"/>
    <row r="119" spans="1:1" ht="16" thickTop="1">
      <c r="A119" s="88" t="s">
        <v>2971</v>
      </c>
    </row>
    <row r="120" spans="1:1">
      <c r="A120" s="87" t="s">
        <v>2972</v>
      </c>
    </row>
    <row r="121" spans="1:1">
      <c r="A121" s="87" t="s">
        <v>1452</v>
      </c>
    </row>
    <row r="122" spans="1:1">
      <c r="A122" s="87" t="s">
        <v>1456</v>
      </c>
    </row>
    <row r="123" spans="1:1">
      <c r="A123" s="87" t="s">
        <v>1453</v>
      </c>
    </row>
    <row r="124" spans="1:1">
      <c r="A124" s="87" t="s">
        <v>1454</v>
      </c>
    </row>
    <row r="125" spans="1:1">
      <c r="A125" s="93" t="s">
        <v>1458</v>
      </c>
    </row>
    <row r="126" spans="1:1">
      <c r="A126" s="87" t="s">
        <v>1457</v>
      </c>
    </row>
    <row r="127" spans="1:1" ht="16" thickBot="1">
      <c r="A127" s="89"/>
    </row>
    <row r="128" spans="1:1" ht="16" thickTop="1"/>
    <row r="130" spans="1:1" ht="16" thickBot="1"/>
    <row r="131" spans="1:1" ht="16" thickTop="1">
      <c r="A131" s="85" t="s">
        <v>1213</v>
      </c>
    </row>
    <row r="132" spans="1:1">
      <c r="A132" s="87" t="s">
        <v>1455</v>
      </c>
    </row>
    <row r="133" spans="1:1">
      <c r="A133" s="87" t="s">
        <v>96</v>
      </c>
    </row>
    <row r="134" spans="1:1">
      <c r="A134" s="87" t="s">
        <v>221</v>
      </c>
    </row>
    <row r="135" spans="1:1">
      <c r="A135" s="87" t="s">
        <v>860</v>
      </c>
    </row>
    <row r="136" spans="1:1">
      <c r="A136" s="87" t="s">
        <v>223</v>
      </c>
    </row>
    <row r="137" spans="1:1">
      <c r="A137" s="87" t="s">
        <v>224</v>
      </c>
    </row>
    <row r="138" spans="1:1">
      <c r="A138" s="87" t="s">
        <v>225</v>
      </c>
    </row>
    <row r="139" spans="1:1">
      <c r="A139" s="87" t="s">
        <v>861</v>
      </c>
    </row>
    <row r="140" spans="1:1">
      <c r="A140" s="87" t="s">
        <v>226</v>
      </c>
    </row>
    <row r="141" spans="1:1">
      <c r="A141" s="87" t="s">
        <v>862</v>
      </c>
    </row>
    <row r="142" spans="1:1">
      <c r="A142" s="87" t="s">
        <v>863</v>
      </c>
    </row>
    <row r="143" spans="1:1">
      <c r="A143" s="87" t="s">
        <v>227</v>
      </c>
    </row>
    <row r="144" spans="1:1">
      <c r="A144" s="87" t="s">
        <v>228</v>
      </c>
    </row>
    <row r="145" spans="1:1">
      <c r="A145" s="87" t="s">
        <v>230</v>
      </c>
    </row>
    <row r="146" spans="1:1">
      <c r="A146" s="87" t="s">
        <v>864</v>
      </c>
    </row>
    <row r="147" spans="1:1">
      <c r="A147" s="87" t="s">
        <v>231</v>
      </c>
    </row>
    <row r="148" spans="1:1">
      <c r="A148" s="87" t="s">
        <v>232</v>
      </c>
    </row>
    <row r="149" spans="1:1">
      <c r="A149" s="87" t="s">
        <v>233</v>
      </c>
    </row>
    <row r="150" spans="1:1">
      <c r="A150" s="87" t="s">
        <v>234</v>
      </c>
    </row>
    <row r="151" spans="1:1">
      <c r="A151" s="87" t="s">
        <v>235</v>
      </c>
    </row>
    <row r="152" spans="1:1">
      <c r="A152" s="87" t="s">
        <v>865</v>
      </c>
    </row>
    <row r="153" spans="1:1">
      <c r="A153" s="87" t="s">
        <v>866</v>
      </c>
    </row>
    <row r="154" spans="1:1">
      <c r="A154" s="87" t="s">
        <v>867</v>
      </c>
    </row>
    <row r="155" spans="1:1">
      <c r="A155" s="87" t="s">
        <v>236</v>
      </c>
    </row>
    <row r="156" spans="1:1">
      <c r="A156" s="87" t="s">
        <v>868</v>
      </c>
    </row>
    <row r="157" spans="1:1">
      <c r="A157" s="87" t="s">
        <v>869</v>
      </c>
    </row>
    <row r="158" spans="1:1">
      <c r="A158" s="87" t="s">
        <v>237</v>
      </c>
    </row>
    <row r="159" spans="1:1">
      <c r="A159" s="87" t="s">
        <v>870</v>
      </c>
    </row>
    <row r="160" spans="1:1">
      <c r="A160" s="87" t="s">
        <v>871</v>
      </c>
    </row>
    <row r="161" spans="1:1">
      <c r="A161" s="87" t="s">
        <v>238</v>
      </c>
    </row>
    <row r="162" spans="1:1">
      <c r="A162" s="87" t="s">
        <v>239</v>
      </c>
    </row>
    <row r="163" spans="1:1">
      <c r="A163" s="87" t="s">
        <v>240</v>
      </c>
    </row>
    <row r="164" spans="1:1">
      <c r="A164" s="87" t="s">
        <v>872</v>
      </c>
    </row>
    <row r="165" spans="1:1">
      <c r="A165" s="87" t="s">
        <v>873</v>
      </c>
    </row>
    <row r="166" spans="1:1">
      <c r="A166" s="87" t="s">
        <v>874</v>
      </c>
    </row>
    <row r="167" spans="1:1">
      <c r="A167" s="90" t="s">
        <v>875</v>
      </c>
    </row>
    <row r="168" spans="1:1">
      <c r="A168" s="87" t="s">
        <v>876</v>
      </c>
    </row>
    <row r="169" spans="1:1">
      <c r="A169" s="87" t="s">
        <v>877</v>
      </c>
    </row>
    <row r="170" spans="1:1">
      <c r="A170" s="87" t="s">
        <v>245</v>
      </c>
    </row>
    <row r="171" spans="1:1">
      <c r="A171" s="87" t="s">
        <v>246</v>
      </c>
    </row>
    <row r="172" spans="1:1">
      <c r="A172" s="87" t="s">
        <v>247</v>
      </c>
    </row>
    <row r="173" spans="1:1">
      <c r="A173" s="87" t="s">
        <v>248</v>
      </c>
    </row>
    <row r="174" spans="1:1">
      <c r="A174" s="87" t="s">
        <v>249</v>
      </c>
    </row>
    <row r="175" spans="1:1">
      <c r="A175" s="87" t="s">
        <v>251</v>
      </c>
    </row>
    <row r="176" spans="1:1">
      <c r="A176" s="87" t="s">
        <v>252</v>
      </c>
    </row>
    <row r="177" spans="1:1">
      <c r="A177" s="87" t="s">
        <v>878</v>
      </c>
    </row>
    <row r="178" spans="1:1">
      <c r="A178" s="87" t="s">
        <v>255</v>
      </c>
    </row>
    <row r="179" spans="1:1">
      <c r="A179" s="87" t="s">
        <v>879</v>
      </c>
    </row>
    <row r="180" spans="1:1">
      <c r="A180" s="87" t="s">
        <v>257</v>
      </c>
    </row>
    <row r="181" spans="1:1">
      <c r="A181" s="87" t="s">
        <v>260</v>
      </c>
    </row>
    <row r="182" spans="1:1">
      <c r="A182" s="87" t="s">
        <v>880</v>
      </c>
    </row>
    <row r="183" spans="1:1">
      <c r="A183" s="87" t="s">
        <v>262</v>
      </c>
    </row>
    <row r="184" spans="1:1">
      <c r="A184" s="87" t="s">
        <v>263</v>
      </c>
    </row>
    <row r="185" spans="1:1">
      <c r="A185" s="87" t="s">
        <v>264</v>
      </c>
    </row>
    <row r="186" spans="1:1">
      <c r="A186" s="87" t="s">
        <v>265</v>
      </c>
    </row>
    <row r="187" spans="1:1">
      <c r="A187" s="87" t="s">
        <v>881</v>
      </c>
    </row>
    <row r="188" spans="1:1">
      <c r="A188" s="87" t="s">
        <v>882</v>
      </c>
    </row>
    <row r="189" spans="1:1">
      <c r="A189" s="87" t="s">
        <v>883</v>
      </c>
    </row>
    <row r="190" spans="1:1">
      <c r="A190" s="87" t="s">
        <v>268</v>
      </c>
    </row>
    <row r="191" spans="1:1">
      <c r="A191" s="87" t="s">
        <v>884</v>
      </c>
    </row>
    <row r="192" spans="1:1">
      <c r="A192" s="87" t="s">
        <v>885</v>
      </c>
    </row>
    <row r="193" spans="1:1">
      <c r="A193" s="87" t="s">
        <v>886</v>
      </c>
    </row>
    <row r="194" spans="1:1">
      <c r="A194" s="87" t="s">
        <v>270</v>
      </c>
    </row>
    <row r="195" spans="1:1">
      <c r="A195" s="87" t="s">
        <v>271</v>
      </c>
    </row>
    <row r="196" spans="1:1">
      <c r="A196" s="87" t="s">
        <v>887</v>
      </c>
    </row>
    <row r="197" spans="1:1">
      <c r="A197" s="87" t="s">
        <v>272</v>
      </c>
    </row>
    <row r="198" spans="1:1">
      <c r="A198" s="87" t="s">
        <v>888</v>
      </c>
    </row>
    <row r="199" spans="1:1">
      <c r="A199" s="87" t="s">
        <v>273</v>
      </c>
    </row>
    <row r="200" spans="1:1">
      <c r="A200" s="87" t="s">
        <v>274</v>
      </c>
    </row>
    <row r="201" spans="1:1">
      <c r="A201" s="87" t="s">
        <v>889</v>
      </c>
    </row>
    <row r="202" spans="1:1">
      <c r="A202" s="87" t="s">
        <v>890</v>
      </c>
    </row>
    <row r="203" spans="1:1">
      <c r="A203" s="87" t="s">
        <v>891</v>
      </c>
    </row>
    <row r="204" spans="1:1">
      <c r="A204" s="87" t="s">
        <v>278</v>
      </c>
    </row>
    <row r="205" spans="1:1">
      <c r="A205" s="87" t="s">
        <v>892</v>
      </c>
    </row>
    <row r="206" spans="1:1">
      <c r="A206" s="87" t="s">
        <v>279</v>
      </c>
    </row>
    <row r="207" spans="1:1">
      <c r="A207" s="87" t="s">
        <v>280</v>
      </c>
    </row>
    <row r="208" spans="1:1">
      <c r="A208" s="87" t="s">
        <v>282</v>
      </c>
    </row>
    <row r="209" spans="1:1">
      <c r="A209" s="87" t="s">
        <v>893</v>
      </c>
    </row>
    <row r="210" spans="1:1">
      <c r="A210" s="87" t="s">
        <v>894</v>
      </c>
    </row>
    <row r="211" spans="1:1">
      <c r="A211" s="87" t="s">
        <v>895</v>
      </c>
    </row>
    <row r="212" spans="1:1">
      <c r="A212" s="90" t="s">
        <v>896</v>
      </c>
    </row>
    <row r="213" spans="1:1">
      <c r="A213" s="87" t="s">
        <v>897</v>
      </c>
    </row>
    <row r="214" spans="1:1">
      <c r="A214" s="87" t="s">
        <v>898</v>
      </c>
    </row>
    <row r="215" spans="1:1">
      <c r="A215" s="87" t="s">
        <v>899</v>
      </c>
    </row>
    <row r="216" spans="1:1">
      <c r="A216" s="87" t="s">
        <v>900</v>
      </c>
    </row>
    <row r="217" spans="1:1">
      <c r="A217" s="87" t="s">
        <v>901</v>
      </c>
    </row>
    <row r="218" spans="1:1">
      <c r="A218" s="87" t="s">
        <v>286</v>
      </c>
    </row>
    <row r="219" spans="1:1">
      <c r="A219" s="87" t="s">
        <v>902</v>
      </c>
    </row>
    <row r="220" spans="1:1">
      <c r="A220" s="87" t="s">
        <v>290</v>
      </c>
    </row>
    <row r="221" spans="1:1">
      <c r="A221" s="87" t="s">
        <v>292</v>
      </c>
    </row>
    <row r="222" spans="1:1">
      <c r="A222" s="87" t="s">
        <v>293</v>
      </c>
    </row>
    <row r="223" spans="1:1">
      <c r="A223" s="87" t="s">
        <v>903</v>
      </c>
    </row>
    <row r="224" spans="1:1">
      <c r="A224" s="87" t="s">
        <v>904</v>
      </c>
    </row>
    <row r="225" spans="1:1">
      <c r="A225" s="87" t="s">
        <v>295</v>
      </c>
    </row>
    <row r="226" spans="1:1">
      <c r="A226" s="87" t="s">
        <v>297</v>
      </c>
    </row>
    <row r="227" spans="1:1">
      <c r="A227" s="87" t="s">
        <v>905</v>
      </c>
    </row>
    <row r="228" spans="1:1">
      <c r="A228" s="87" t="s">
        <v>298</v>
      </c>
    </row>
    <row r="229" spans="1:1">
      <c r="A229" s="87" t="s">
        <v>299</v>
      </c>
    </row>
    <row r="230" spans="1:1">
      <c r="A230" s="87" t="s">
        <v>906</v>
      </c>
    </row>
    <row r="231" spans="1:1">
      <c r="A231" s="87" t="s">
        <v>907</v>
      </c>
    </row>
    <row r="232" spans="1:1">
      <c r="A232" s="87" t="s">
        <v>304</v>
      </c>
    </row>
    <row r="233" spans="1:1">
      <c r="A233" s="87" t="s">
        <v>306</v>
      </c>
    </row>
    <row r="234" spans="1:1">
      <c r="A234" s="87" t="s">
        <v>308</v>
      </c>
    </row>
    <row r="235" spans="1:1">
      <c r="A235" s="87" t="s">
        <v>309</v>
      </c>
    </row>
    <row r="236" spans="1:1">
      <c r="A236" s="87" t="s">
        <v>310</v>
      </c>
    </row>
    <row r="237" spans="1:1">
      <c r="A237" s="87" t="s">
        <v>313</v>
      </c>
    </row>
    <row r="238" spans="1:1">
      <c r="A238" s="87" t="s">
        <v>908</v>
      </c>
    </row>
    <row r="239" spans="1:1">
      <c r="A239" s="87" t="s">
        <v>317</v>
      </c>
    </row>
    <row r="240" spans="1:1">
      <c r="A240" s="87" t="s">
        <v>318</v>
      </c>
    </row>
    <row r="241" spans="1:1">
      <c r="A241" s="87" t="s">
        <v>909</v>
      </c>
    </row>
    <row r="242" spans="1:1">
      <c r="A242" s="87" t="s">
        <v>319</v>
      </c>
    </row>
    <row r="243" spans="1:1">
      <c r="A243" s="87" t="s">
        <v>320</v>
      </c>
    </row>
    <row r="244" spans="1:1">
      <c r="A244" s="87" t="s">
        <v>321</v>
      </c>
    </row>
    <row r="245" spans="1:1">
      <c r="A245" s="87" t="s">
        <v>322</v>
      </c>
    </row>
    <row r="246" spans="1:1">
      <c r="A246" s="87" t="s">
        <v>910</v>
      </c>
    </row>
    <row r="247" spans="1:1">
      <c r="A247" s="87" t="s">
        <v>911</v>
      </c>
    </row>
    <row r="248" spans="1:1">
      <c r="A248" s="87" t="s">
        <v>912</v>
      </c>
    </row>
    <row r="249" spans="1:1">
      <c r="A249" s="87" t="s">
        <v>913</v>
      </c>
    </row>
    <row r="250" spans="1:1">
      <c r="A250" s="87" t="s">
        <v>914</v>
      </c>
    </row>
    <row r="251" spans="1:1">
      <c r="A251" s="87" t="s">
        <v>326</v>
      </c>
    </row>
    <row r="252" spans="1:1">
      <c r="A252" s="87" t="s">
        <v>329</v>
      </c>
    </row>
    <row r="253" spans="1:1">
      <c r="A253" s="87" t="s">
        <v>330</v>
      </c>
    </row>
    <row r="254" spans="1:1">
      <c r="A254" s="87" t="s">
        <v>915</v>
      </c>
    </row>
    <row r="255" spans="1:1">
      <c r="A255" s="87" t="s">
        <v>333</v>
      </c>
    </row>
    <row r="256" spans="1:1">
      <c r="A256" s="87" t="s">
        <v>334</v>
      </c>
    </row>
    <row r="257" spans="1:1">
      <c r="A257" s="87" t="s">
        <v>337</v>
      </c>
    </row>
    <row r="258" spans="1:1">
      <c r="A258" s="87" t="s">
        <v>916</v>
      </c>
    </row>
    <row r="259" spans="1:1">
      <c r="A259" s="87" t="s">
        <v>339</v>
      </c>
    </row>
    <row r="260" spans="1:1">
      <c r="A260" s="87" t="s">
        <v>340</v>
      </c>
    </row>
    <row r="261" spans="1:1">
      <c r="A261" s="87" t="s">
        <v>341</v>
      </c>
    </row>
    <row r="262" spans="1:1">
      <c r="A262" s="87" t="s">
        <v>342</v>
      </c>
    </row>
    <row r="263" spans="1:1">
      <c r="A263" s="87" t="s">
        <v>917</v>
      </c>
    </row>
    <row r="264" spans="1:1">
      <c r="A264" s="87" t="s">
        <v>918</v>
      </c>
    </row>
    <row r="265" spans="1:1">
      <c r="A265" s="87" t="s">
        <v>344</v>
      </c>
    </row>
    <row r="266" spans="1:1">
      <c r="A266" s="87" t="s">
        <v>919</v>
      </c>
    </row>
    <row r="267" spans="1:1">
      <c r="A267" s="87" t="s">
        <v>346</v>
      </c>
    </row>
    <row r="268" spans="1:1">
      <c r="A268" s="87" t="s">
        <v>347</v>
      </c>
    </row>
    <row r="269" spans="1:1">
      <c r="A269" s="87" t="s">
        <v>348</v>
      </c>
    </row>
    <row r="270" spans="1:1">
      <c r="A270" s="87" t="s">
        <v>920</v>
      </c>
    </row>
    <row r="271" spans="1:1">
      <c r="A271" s="87" t="s">
        <v>921</v>
      </c>
    </row>
    <row r="272" spans="1:1">
      <c r="A272" s="87" t="s">
        <v>353</v>
      </c>
    </row>
    <row r="273" spans="1:1">
      <c r="A273" s="87" t="s">
        <v>356</v>
      </c>
    </row>
    <row r="274" spans="1:1">
      <c r="A274" s="87" t="s">
        <v>357</v>
      </c>
    </row>
    <row r="275" spans="1:1">
      <c r="A275" s="87" t="s">
        <v>922</v>
      </c>
    </row>
    <row r="276" spans="1:1">
      <c r="A276" s="87" t="s">
        <v>359</v>
      </c>
    </row>
    <row r="277" spans="1:1">
      <c r="A277" s="87" t="s">
        <v>923</v>
      </c>
    </row>
    <row r="278" spans="1:1">
      <c r="A278" s="87" t="s">
        <v>924</v>
      </c>
    </row>
    <row r="279" spans="1:1">
      <c r="A279" s="87" t="s">
        <v>360</v>
      </c>
    </row>
    <row r="280" spans="1:1">
      <c r="A280" s="87" t="s">
        <v>361</v>
      </c>
    </row>
    <row r="281" spans="1:1">
      <c r="A281" s="87" t="s">
        <v>925</v>
      </c>
    </row>
    <row r="282" spans="1:1">
      <c r="A282" s="87" t="s">
        <v>926</v>
      </c>
    </row>
    <row r="283" spans="1:1">
      <c r="A283" s="87" t="s">
        <v>362</v>
      </c>
    </row>
    <row r="284" spans="1:1">
      <c r="A284" s="87" t="s">
        <v>364</v>
      </c>
    </row>
    <row r="285" spans="1:1">
      <c r="A285" s="87" t="s">
        <v>927</v>
      </c>
    </row>
    <row r="286" spans="1:1">
      <c r="A286" s="87" t="s">
        <v>928</v>
      </c>
    </row>
    <row r="287" spans="1:1">
      <c r="A287" s="87" t="s">
        <v>929</v>
      </c>
    </row>
    <row r="288" spans="1:1">
      <c r="A288" s="87" t="s">
        <v>930</v>
      </c>
    </row>
    <row r="289" spans="1:1">
      <c r="A289" s="87" t="s">
        <v>931</v>
      </c>
    </row>
    <row r="290" spans="1:1">
      <c r="A290" s="87" t="s">
        <v>932</v>
      </c>
    </row>
    <row r="291" spans="1:1">
      <c r="A291" s="87" t="s">
        <v>366</v>
      </c>
    </row>
    <row r="292" spans="1:1">
      <c r="A292" s="87" t="s">
        <v>367</v>
      </c>
    </row>
    <row r="293" spans="1:1">
      <c r="A293" s="87" t="s">
        <v>368</v>
      </c>
    </row>
    <row r="294" spans="1:1">
      <c r="A294" s="87" t="s">
        <v>933</v>
      </c>
    </row>
    <row r="295" spans="1:1">
      <c r="A295" s="87" t="s">
        <v>371</v>
      </c>
    </row>
    <row r="296" spans="1:1">
      <c r="A296" s="87" t="s">
        <v>373</v>
      </c>
    </row>
    <row r="297" spans="1:1">
      <c r="A297" s="87" t="s">
        <v>374</v>
      </c>
    </row>
    <row r="298" spans="1:1">
      <c r="A298" s="87" t="s">
        <v>375</v>
      </c>
    </row>
    <row r="299" spans="1:1">
      <c r="A299" s="87" t="s">
        <v>376</v>
      </c>
    </row>
    <row r="300" spans="1:1">
      <c r="A300" s="87" t="s">
        <v>377</v>
      </c>
    </row>
    <row r="301" spans="1:1">
      <c r="A301" s="87" t="s">
        <v>379</v>
      </c>
    </row>
    <row r="302" spans="1:1">
      <c r="A302" s="87" t="s">
        <v>934</v>
      </c>
    </row>
    <row r="303" spans="1:1">
      <c r="A303" s="87" t="s">
        <v>935</v>
      </c>
    </row>
    <row r="304" spans="1:1">
      <c r="A304" s="87" t="s">
        <v>381</v>
      </c>
    </row>
    <row r="305" spans="1:2">
      <c r="A305" s="87" t="s">
        <v>383</v>
      </c>
    </row>
    <row r="306" spans="1:2">
      <c r="A306" s="87" t="s">
        <v>384</v>
      </c>
    </row>
    <row r="307" spans="1:2">
      <c r="A307" s="87" t="s">
        <v>385</v>
      </c>
    </row>
    <row r="308" spans="1:2">
      <c r="A308" s="87" t="s">
        <v>936</v>
      </c>
    </row>
    <row r="309" spans="1:2">
      <c r="A309" s="87" t="s">
        <v>386</v>
      </c>
    </row>
    <row r="310" spans="1:2">
      <c r="A310" s="87" t="s">
        <v>387</v>
      </c>
    </row>
    <row r="311" spans="1:2">
      <c r="A311" s="87" t="s">
        <v>937</v>
      </c>
    </row>
    <row r="312" spans="1:2">
      <c r="A312" s="87" t="s">
        <v>388</v>
      </c>
    </row>
    <row r="313" spans="1:2">
      <c r="A313" s="87" t="s">
        <v>938</v>
      </c>
    </row>
    <row r="314" spans="1:2">
      <c r="A314" s="87" t="s">
        <v>939</v>
      </c>
    </row>
    <row r="315" spans="1:2">
      <c r="A315" s="87" t="s">
        <v>389</v>
      </c>
    </row>
    <row r="316" spans="1:2">
      <c r="A316" s="87" t="s">
        <v>390</v>
      </c>
    </row>
    <row r="317" spans="1:2">
      <c r="A317" s="87" t="s">
        <v>940</v>
      </c>
      <c r="B317" t="s">
        <v>11</v>
      </c>
    </row>
    <row r="318" spans="1:2">
      <c r="A318" s="87" t="s">
        <v>391</v>
      </c>
    </row>
    <row r="319" spans="1:2">
      <c r="A319" s="87" t="s">
        <v>941</v>
      </c>
    </row>
    <row r="320" spans="1:2">
      <c r="A320" s="87" t="s">
        <v>392</v>
      </c>
    </row>
    <row r="321" spans="1:1">
      <c r="A321" s="87" t="s">
        <v>942</v>
      </c>
    </row>
    <row r="322" spans="1:1">
      <c r="A322" s="87" t="s">
        <v>943</v>
      </c>
    </row>
    <row r="323" spans="1:1">
      <c r="A323" s="87" t="s">
        <v>944</v>
      </c>
    </row>
    <row r="324" spans="1:1">
      <c r="A324" s="87" t="s">
        <v>393</v>
      </c>
    </row>
    <row r="325" spans="1:1">
      <c r="A325" s="87" t="s">
        <v>945</v>
      </c>
    </row>
    <row r="326" spans="1:1">
      <c r="A326" s="87" t="s">
        <v>397</v>
      </c>
    </row>
    <row r="327" spans="1:1">
      <c r="A327" s="87" t="s">
        <v>946</v>
      </c>
    </row>
    <row r="328" spans="1:1">
      <c r="A328" s="87" t="s">
        <v>947</v>
      </c>
    </row>
    <row r="329" spans="1:1">
      <c r="A329" s="87" t="s">
        <v>400</v>
      </c>
    </row>
    <row r="330" spans="1:1">
      <c r="A330" s="87" t="s">
        <v>401</v>
      </c>
    </row>
    <row r="331" spans="1:1">
      <c r="A331" s="87" t="s">
        <v>402</v>
      </c>
    </row>
    <row r="332" spans="1:1">
      <c r="A332" s="87" t="s">
        <v>404</v>
      </c>
    </row>
    <row r="333" spans="1:1">
      <c r="A333" s="87" t="s">
        <v>405</v>
      </c>
    </row>
    <row r="334" spans="1:1">
      <c r="A334" s="87" t="s">
        <v>406</v>
      </c>
    </row>
    <row r="335" spans="1:1">
      <c r="A335" s="87" t="s">
        <v>948</v>
      </c>
    </row>
    <row r="336" spans="1:1">
      <c r="A336" s="87" t="s">
        <v>408</v>
      </c>
    </row>
    <row r="337" spans="1:1">
      <c r="A337" s="87" t="s">
        <v>409</v>
      </c>
    </row>
    <row r="338" spans="1:1">
      <c r="A338" s="87" t="s">
        <v>949</v>
      </c>
    </row>
    <row r="339" spans="1:1">
      <c r="A339" s="87" t="s">
        <v>950</v>
      </c>
    </row>
    <row r="340" spans="1:1">
      <c r="A340" s="87" t="s">
        <v>951</v>
      </c>
    </row>
    <row r="341" spans="1:1">
      <c r="A341" s="87" t="s">
        <v>952</v>
      </c>
    </row>
    <row r="342" spans="1:1">
      <c r="A342" s="87" t="s">
        <v>410</v>
      </c>
    </row>
    <row r="343" spans="1:1">
      <c r="A343" s="87" t="s">
        <v>411</v>
      </c>
    </row>
    <row r="344" spans="1:1">
      <c r="A344" s="87" t="s">
        <v>953</v>
      </c>
    </row>
    <row r="345" spans="1:1">
      <c r="A345" s="87" t="s">
        <v>415</v>
      </c>
    </row>
    <row r="346" spans="1:1">
      <c r="A346" s="87" t="s">
        <v>954</v>
      </c>
    </row>
    <row r="347" spans="1:1">
      <c r="A347" s="87" t="s">
        <v>955</v>
      </c>
    </row>
    <row r="348" spans="1:1">
      <c r="A348" s="87" t="s">
        <v>416</v>
      </c>
    </row>
    <row r="349" spans="1:1">
      <c r="A349" s="87" t="s">
        <v>956</v>
      </c>
    </row>
    <row r="350" spans="1:1">
      <c r="A350" s="87" t="s">
        <v>417</v>
      </c>
    </row>
    <row r="351" spans="1:1">
      <c r="A351" s="87" t="s">
        <v>418</v>
      </c>
    </row>
    <row r="352" spans="1:1">
      <c r="A352" s="87" t="s">
        <v>957</v>
      </c>
    </row>
    <row r="353" spans="1:1">
      <c r="A353" s="87" t="s">
        <v>420</v>
      </c>
    </row>
    <row r="354" spans="1:1">
      <c r="A354" s="87" t="s">
        <v>421</v>
      </c>
    </row>
    <row r="355" spans="1:1">
      <c r="A355" s="87" t="s">
        <v>958</v>
      </c>
    </row>
    <row r="356" spans="1:1">
      <c r="A356" s="87" t="s">
        <v>422</v>
      </c>
    </row>
    <row r="357" spans="1:1">
      <c r="A357" s="87" t="s">
        <v>423</v>
      </c>
    </row>
    <row r="358" spans="1:1">
      <c r="A358" s="87" t="s">
        <v>424</v>
      </c>
    </row>
    <row r="359" spans="1:1">
      <c r="A359" s="87" t="s">
        <v>426</v>
      </c>
    </row>
    <row r="360" spans="1:1">
      <c r="A360" s="87" t="s">
        <v>427</v>
      </c>
    </row>
    <row r="361" spans="1:1">
      <c r="A361" s="87" t="s">
        <v>959</v>
      </c>
    </row>
    <row r="362" spans="1:1">
      <c r="A362" s="87" t="s">
        <v>430</v>
      </c>
    </row>
    <row r="363" spans="1:1">
      <c r="A363" s="87" t="s">
        <v>431</v>
      </c>
    </row>
    <row r="364" spans="1:1">
      <c r="A364" s="87" t="s">
        <v>432</v>
      </c>
    </row>
    <row r="365" spans="1:1">
      <c r="A365" s="87" t="s">
        <v>433</v>
      </c>
    </row>
    <row r="366" spans="1:1">
      <c r="A366" s="87" t="s">
        <v>435</v>
      </c>
    </row>
    <row r="367" spans="1:1">
      <c r="A367" s="87" t="s">
        <v>960</v>
      </c>
    </row>
    <row r="368" spans="1:1">
      <c r="A368" s="87" t="s">
        <v>961</v>
      </c>
    </row>
    <row r="369" spans="1:1">
      <c r="A369" s="87" t="s">
        <v>437</v>
      </c>
    </row>
    <row r="370" spans="1:1">
      <c r="A370" s="87" t="s">
        <v>962</v>
      </c>
    </row>
    <row r="371" spans="1:1">
      <c r="A371" s="87" t="s">
        <v>438</v>
      </c>
    </row>
    <row r="372" spans="1:1">
      <c r="A372" s="87" t="s">
        <v>963</v>
      </c>
    </row>
    <row r="373" spans="1:1">
      <c r="A373" s="87" t="s">
        <v>964</v>
      </c>
    </row>
    <row r="374" spans="1:1">
      <c r="A374" s="87" t="s">
        <v>965</v>
      </c>
    </row>
    <row r="375" spans="1:1">
      <c r="A375" s="87" t="s">
        <v>439</v>
      </c>
    </row>
    <row r="376" spans="1:1">
      <c r="A376" s="87" t="s">
        <v>442</v>
      </c>
    </row>
    <row r="377" spans="1:1">
      <c r="A377" s="87" t="s">
        <v>443</v>
      </c>
    </row>
    <row r="378" spans="1:1">
      <c r="A378" s="87" t="s">
        <v>444</v>
      </c>
    </row>
    <row r="379" spans="1:1">
      <c r="A379" s="87" t="s">
        <v>446</v>
      </c>
    </row>
    <row r="380" spans="1:1">
      <c r="A380" s="87" t="s">
        <v>447</v>
      </c>
    </row>
    <row r="381" spans="1:1">
      <c r="A381" s="87" t="s">
        <v>448</v>
      </c>
    </row>
    <row r="382" spans="1:1">
      <c r="A382" s="87" t="s">
        <v>966</v>
      </c>
    </row>
    <row r="383" spans="1:1">
      <c r="A383" s="87" t="s">
        <v>967</v>
      </c>
    </row>
    <row r="384" spans="1:1">
      <c r="A384" s="87" t="s">
        <v>968</v>
      </c>
    </row>
    <row r="385" spans="1:1">
      <c r="A385" s="87" t="s">
        <v>450</v>
      </c>
    </row>
    <row r="386" spans="1:1">
      <c r="A386" s="87" t="s">
        <v>451</v>
      </c>
    </row>
    <row r="387" spans="1:1">
      <c r="A387" s="87" t="s">
        <v>969</v>
      </c>
    </row>
    <row r="388" spans="1:1">
      <c r="A388" s="87" t="s">
        <v>452</v>
      </c>
    </row>
    <row r="389" spans="1:1">
      <c r="A389" s="87" t="s">
        <v>453</v>
      </c>
    </row>
    <row r="390" spans="1:1">
      <c r="A390" s="87" t="s">
        <v>454</v>
      </c>
    </row>
    <row r="391" spans="1:1">
      <c r="A391" s="87" t="s">
        <v>456</v>
      </c>
    </row>
    <row r="392" spans="1:1">
      <c r="A392" s="87" t="s">
        <v>970</v>
      </c>
    </row>
    <row r="393" spans="1:1">
      <c r="A393" s="87" t="s">
        <v>458</v>
      </c>
    </row>
    <row r="394" spans="1:1">
      <c r="A394" s="87" t="s">
        <v>971</v>
      </c>
    </row>
    <row r="395" spans="1:1">
      <c r="A395" s="87" t="s">
        <v>459</v>
      </c>
    </row>
    <row r="396" spans="1:1">
      <c r="A396" s="87" t="s">
        <v>460</v>
      </c>
    </row>
    <row r="397" spans="1:1">
      <c r="A397" s="87" t="s">
        <v>461</v>
      </c>
    </row>
    <row r="398" spans="1:1">
      <c r="A398" s="87" t="s">
        <v>462</v>
      </c>
    </row>
    <row r="399" spans="1:1">
      <c r="A399" s="87" t="s">
        <v>463</v>
      </c>
    </row>
    <row r="400" spans="1:1">
      <c r="A400" s="87" t="s">
        <v>464</v>
      </c>
    </row>
    <row r="401" spans="1:1">
      <c r="A401" s="87" t="s">
        <v>972</v>
      </c>
    </row>
    <row r="402" spans="1:1">
      <c r="A402" s="87" t="s">
        <v>465</v>
      </c>
    </row>
    <row r="403" spans="1:1">
      <c r="A403" s="87" t="s">
        <v>467</v>
      </c>
    </row>
    <row r="404" spans="1:1">
      <c r="A404" s="87" t="s">
        <v>973</v>
      </c>
    </row>
    <row r="405" spans="1:1">
      <c r="A405" s="87" t="s">
        <v>469</v>
      </c>
    </row>
    <row r="406" spans="1:1">
      <c r="A406" s="87" t="s">
        <v>470</v>
      </c>
    </row>
    <row r="407" spans="1:1">
      <c r="A407" s="87" t="s">
        <v>471</v>
      </c>
    </row>
    <row r="408" spans="1:1">
      <c r="A408" s="87" t="s">
        <v>472</v>
      </c>
    </row>
    <row r="409" spans="1:1">
      <c r="A409" s="87" t="s">
        <v>474</v>
      </c>
    </row>
    <row r="410" spans="1:1">
      <c r="A410" s="87" t="s">
        <v>478</v>
      </c>
    </row>
    <row r="411" spans="1:1">
      <c r="A411" s="87" t="s">
        <v>974</v>
      </c>
    </row>
    <row r="412" spans="1:1">
      <c r="A412" s="87" t="s">
        <v>975</v>
      </c>
    </row>
    <row r="413" spans="1:1">
      <c r="A413" s="90" t="s">
        <v>976</v>
      </c>
    </row>
    <row r="414" spans="1:1">
      <c r="A414" s="87" t="s">
        <v>481</v>
      </c>
    </row>
    <row r="415" spans="1:1">
      <c r="A415" s="87" t="s">
        <v>482</v>
      </c>
    </row>
    <row r="416" spans="1:1">
      <c r="A416" s="87" t="s">
        <v>484</v>
      </c>
    </row>
    <row r="417" spans="1:1">
      <c r="A417" s="87" t="s">
        <v>977</v>
      </c>
    </row>
    <row r="418" spans="1:1">
      <c r="A418" s="87" t="s">
        <v>978</v>
      </c>
    </row>
    <row r="419" spans="1:1">
      <c r="A419" s="87" t="s">
        <v>979</v>
      </c>
    </row>
    <row r="420" spans="1:1">
      <c r="A420" s="87" t="s">
        <v>486</v>
      </c>
    </row>
    <row r="421" spans="1:1">
      <c r="A421" s="87" t="s">
        <v>980</v>
      </c>
    </row>
    <row r="422" spans="1:1">
      <c r="A422" s="87" t="s">
        <v>981</v>
      </c>
    </row>
    <row r="423" spans="1:1">
      <c r="A423" s="87" t="s">
        <v>487</v>
      </c>
    </row>
    <row r="424" spans="1:1">
      <c r="A424" s="87" t="s">
        <v>982</v>
      </c>
    </row>
    <row r="425" spans="1:1">
      <c r="A425" s="87" t="s">
        <v>492</v>
      </c>
    </row>
    <row r="426" spans="1:1">
      <c r="A426" s="87" t="s">
        <v>494</v>
      </c>
    </row>
    <row r="427" spans="1:1">
      <c r="A427" s="87" t="s">
        <v>983</v>
      </c>
    </row>
    <row r="428" spans="1:1">
      <c r="A428" s="87" t="s">
        <v>495</v>
      </c>
    </row>
    <row r="429" spans="1:1">
      <c r="A429" s="87" t="s">
        <v>496</v>
      </c>
    </row>
    <row r="430" spans="1:1">
      <c r="A430" s="87" t="s">
        <v>984</v>
      </c>
    </row>
    <row r="431" spans="1:1">
      <c r="A431" s="87" t="s">
        <v>985</v>
      </c>
    </row>
    <row r="432" spans="1:1">
      <c r="A432" s="87" t="s">
        <v>498</v>
      </c>
    </row>
    <row r="433" spans="1:1">
      <c r="A433" s="87" t="s">
        <v>500</v>
      </c>
    </row>
    <row r="434" spans="1:1">
      <c r="A434" s="87" t="s">
        <v>501</v>
      </c>
    </row>
    <row r="435" spans="1:1">
      <c r="A435" s="87" t="s">
        <v>503</v>
      </c>
    </row>
    <row r="436" spans="1:1">
      <c r="A436" s="87" t="s">
        <v>505</v>
      </c>
    </row>
    <row r="437" spans="1:1">
      <c r="A437" s="87" t="s">
        <v>986</v>
      </c>
    </row>
    <row r="438" spans="1:1">
      <c r="A438" s="87" t="s">
        <v>506</v>
      </c>
    </row>
    <row r="439" spans="1:1">
      <c r="A439" s="87" t="s">
        <v>987</v>
      </c>
    </row>
    <row r="440" spans="1:1">
      <c r="A440" s="87" t="s">
        <v>988</v>
      </c>
    </row>
    <row r="441" spans="1:1">
      <c r="A441" s="87" t="s">
        <v>509</v>
      </c>
    </row>
    <row r="442" spans="1:1">
      <c r="A442" s="87" t="s">
        <v>989</v>
      </c>
    </row>
    <row r="443" spans="1:1">
      <c r="A443" s="87" t="s">
        <v>512</v>
      </c>
    </row>
    <row r="444" spans="1:1">
      <c r="A444" s="87" t="s">
        <v>990</v>
      </c>
    </row>
    <row r="445" spans="1:1">
      <c r="A445" s="87" t="s">
        <v>514</v>
      </c>
    </row>
    <row r="446" spans="1:1">
      <c r="A446" s="87" t="s">
        <v>515</v>
      </c>
    </row>
    <row r="447" spans="1:1">
      <c r="A447" s="87" t="s">
        <v>991</v>
      </c>
    </row>
    <row r="448" spans="1:1">
      <c r="A448" s="87" t="s">
        <v>992</v>
      </c>
    </row>
    <row r="449" spans="1:1">
      <c r="A449" s="87" t="s">
        <v>518</v>
      </c>
    </row>
    <row r="450" spans="1:1">
      <c r="A450" s="87" t="s">
        <v>993</v>
      </c>
    </row>
    <row r="451" spans="1:1">
      <c r="A451" s="87" t="s">
        <v>994</v>
      </c>
    </row>
    <row r="452" spans="1:1">
      <c r="A452" s="87" t="s">
        <v>520</v>
      </c>
    </row>
    <row r="453" spans="1:1">
      <c r="A453" s="87" t="s">
        <v>995</v>
      </c>
    </row>
    <row r="454" spans="1:1">
      <c r="A454" s="87" t="s">
        <v>996</v>
      </c>
    </row>
    <row r="455" spans="1:1">
      <c r="A455" s="87" t="s">
        <v>997</v>
      </c>
    </row>
    <row r="456" spans="1:1">
      <c r="A456" s="87" t="s">
        <v>998</v>
      </c>
    </row>
    <row r="457" spans="1:1">
      <c r="A457" s="87" t="s">
        <v>999</v>
      </c>
    </row>
    <row r="458" spans="1:1">
      <c r="A458" s="87" t="s">
        <v>1000</v>
      </c>
    </row>
    <row r="459" spans="1:1">
      <c r="A459" s="87" t="s">
        <v>524</v>
      </c>
    </row>
    <row r="460" spans="1:1">
      <c r="A460" s="87" t="s">
        <v>1001</v>
      </c>
    </row>
    <row r="461" spans="1:1">
      <c r="A461" s="87" t="s">
        <v>1002</v>
      </c>
    </row>
    <row r="462" spans="1:1">
      <c r="A462" s="87" t="s">
        <v>526</v>
      </c>
    </row>
    <row r="463" spans="1:1">
      <c r="A463" s="87" t="s">
        <v>1003</v>
      </c>
    </row>
    <row r="464" spans="1:1">
      <c r="A464" s="87" t="s">
        <v>1004</v>
      </c>
    </row>
    <row r="465" spans="1:1">
      <c r="A465" s="87" t="s">
        <v>530</v>
      </c>
    </row>
    <row r="466" spans="1:1">
      <c r="A466" s="90" t="s">
        <v>531</v>
      </c>
    </row>
    <row r="467" spans="1:1">
      <c r="A467" s="87" t="s">
        <v>532</v>
      </c>
    </row>
    <row r="468" spans="1:1">
      <c r="A468" s="87" t="s">
        <v>1005</v>
      </c>
    </row>
    <row r="469" spans="1:1">
      <c r="A469" s="87" t="s">
        <v>533</v>
      </c>
    </row>
    <row r="470" spans="1:1">
      <c r="A470" s="87" t="s">
        <v>1006</v>
      </c>
    </row>
    <row r="471" spans="1:1">
      <c r="A471" s="87" t="s">
        <v>1007</v>
      </c>
    </row>
    <row r="472" spans="1:1">
      <c r="A472" s="87" t="s">
        <v>1008</v>
      </c>
    </row>
    <row r="473" spans="1:1">
      <c r="A473" s="87" t="s">
        <v>1009</v>
      </c>
    </row>
    <row r="474" spans="1:1">
      <c r="A474" s="87" t="s">
        <v>1010</v>
      </c>
    </row>
    <row r="475" spans="1:1">
      <c r="A475" s="87" t="s">
        <v>1011</v>
      </c>
    </row>
    <row r="476" spans="1:1">
      <c r="A476" s="90" t="s">
        <v>845</v>
      </c>
    </row>
    <row r="477" spans="1:1">
      <c r="A477" s="87" t="s">
        <v>1012</v>
      </c>
    </row>
    <row r="478" spans="1:1">
      <c r="A478" s="87" t="s">
        <v>1013</v>
      </c>
    </row>
    <row r="479" spans="1:1">
      <c r="A479" s="87" t="s">
        <v>537</v>
      </c>
    </row>
    <row r="480" spans="1:1">
      <c r="A480" s="87" t="s">
        <v>1014</v>
      </c>
    </row>
    <row r="481" spans="1:1">
      <c r="A481" s="87" t="s">
        <v>540</v>
      </c>
    </row>
    <row r="482" spans="1:1">
      <c r="A482" s="87" t="s">
        <v>1015</v>
      </c>
    </row>
    <row r="483" spans="1:1">
      <c r="A483" s="87" t="s">
        <v>542</v>
      </c>
    </row>
    <row r="484" spans="1:1">
      <c r="A484" s="87" t="s">
        <v>543</v>
      </c>
    </row>
    <row r="485" spans="1:1">
      <c r="A485" s="87" t="s">
        <v>1016</v>
      </c>
    </row>
    <row r="486" spans="1:1">
      <c r="A486" s="87" t="s">
        <v>545</v>
      </c>
    </row>
    <row r="487" spans="1:1">
      <c r="A487" s="87" t="s">
        <v>1017</v>
      </c>
    </row>
    <row r="488" spans="1:1">
      <c r="A488" s="87" t="s">
        <v>1018</v>
      </c>
    </row>
    <row r="489" spans="1:1">
      <c r="A489" s="87" t="s">
        <v>549</v>
      </c>
    </row>
    <row r="490" spans="1:1">
      <c r="A490" s="87" t="s">
        <v>1019</v>
      </c>
    </row>
    <row r="491" spans="1:1">
      <c r="A491" s="87" t="s">
        <v>552</v>
      </c>
    </row>
    <row r="492" spans="1:1">
      <c r="A492" s="87" t="s">
        <v>553</v>
      </c>
    </row>
    <row r="493" spans="1:1">
      <c r="A493" s="87" t="s">
        <v>1020</v>
      </c>
    </row>
    <row r="494" spans="1:1">
      <c r="A494" s="87" t="s">
        <v>555</v>
      </c>
    </row>
    <row r="495" spans="1:1">
      <c r="A495" s="87" t="s">
        <v>556</v>
      </c>
    </row>
    <row r="496" spans="1:1">
      <c r="A496" s="87" t="s">
        <v>558</v>
      </c>
    </row>
    <row r="497" spans="1:1">
      <c r="A497" s="87" t="s">
        <v>561</v>
      </c>
    </row>
    <row r="498" spans="1:1">
      <c r="A498" s="87" t="s">
        <v>562</v>
      </c>
    </row>
    <row r="499" spans="1:1">
      <c r="A499" s="87" t="s">
        <v>1021</v>
      </c>
    </row>
    <row r="500" spans="1:1">
      <c r="A500" s="87" t="s">
        <v>1022</v>
      </c>
    </row>
    <row r="501" spans="1:1">
      <c r="A501" s="87" t="s">
        <v>565</v>
      </c>
    </row>
    <row r="502" spans="1:1">
      <c r="A502" s="90" t="s">
        <v>846</v>
      </c>
    </row>
    <row r="503" spans="1:1">
      <c r="A503" s="87" t="s">
        <v>1023</v>
      </c>
    </row>
    <row r="504" spans="1:1">
      <c r="A504" s="87" t="s">
        <v>1024</v>
      </c>
    </row>
    <row r="505" spans="1:1">
      <c r="A505" s="87" t="s">
        <v>1025</v>
      </c>
    </row>
    <row r="506" spans="1:1">
      <c r="A506" s="87" t="s">
        <v>567</v>
      </c>
    </row>
    <row r="507" spans="1:1">
      <c r="A507" s="87" t="s">
        <v>571</v>
      </c>
    </row>
    <row r="508" spans="1:1">
      <c r="A508" s="87" t="s">
        <v>572</v>
      </c>
    </row>
    <row r="509" spans="1:1">
      <c r="A509" s="87" t="s">
        <v>573</v>
      </c>
    </row>
    <row r="510" spans="1:1">
      <c r="A510" s="87" t="s">
        <v>574</v>
      </c>
    </row>
    <row r="511" spans="1:1">
      <c r="A511" s="87" t="s">
        <v>1026</v>
      </c>
    </row>
    <row r="512" spans="1:1">
      <c r="A512" s="87" t="s">
        <v>575</v>
      </c>
    </row>
    <row r="513" spans="1:1">
      <c r="A513" s="87" t="s">
        <v>578</v>
      </c>
    </row>
    <row r="514" spans="1:1">
      <c r="A514" s="87" t="s">
        <v>579</v>
      </c>
    </row>
    <row r="515" spans="1:1">
      <c r="A515" s="87" t="s">
        <v>1027</v>
      </c>
    </row>
    <row r="516" spans="1:1">
      <c r="A516" s="87" t="s">
        <v>1028</v>
      </c>
    </row>
    <row r="517" spans="1:1">
      <c r="A517" s="87" t="s">
        <v>582</v>
      </c>
    </row>
    <row r="518" spans="1:1">
      <c r="A518" s="87" t="s">
        <v>583</v>
      </c>
    </row>
    <row r="519" spans="1:1">
      <c r="A519" s="87" t="s">
        <v>586</v>
      </c>
    </row>
    <row r="520" spans="1:1">
      <c r="A520" s="90" t="s">
        <v>1029</v>
      </c>
    </row>
    <row r="521" spans="1:1">
      <c r="A521" s="87" t="s">
        <v>587</v>
      </c>
    </row>
    <row r="522" spans="1:1">
      <c r="A522" s="87" t="s">
        <v>589</v>
      </c>
    </row>
    <row r="523" spans="1:1">
      <c r="A523" s="87" t="s">
        <v>1030</v>
      </c>
    </row>
    <row r="524" spans="1:1">
      <c r="A524" s="87" t="s">
        <v>590</v>
      </c>
    </row>
    <row r="525" spans="1:1">
      <c r="A525" s="87" t="s">
        <v>1031</v>
      </c>
    </row>
    <row r="526" spans="1:1">
      <c r="A526" s="87" t="s">
        <v>591</v>
      </c>
    </row>
    <row r="527" spans="1:1">
      <c r="A527" s="87" t="s">
        <v>1032</v>
      </c>
    </row>
    <row r="528" spans="1:1">
      <c r="A528" s="87" t="s">
        <v>593</v>
      </c>
    </row>
    <row r="529" spans="1:1">
      <c r="A529" s="87" t="s">
        <v>594</v>
      </c>
    </row>
    <row r="530" spans="1:1">
      <c r="A530" s="87" t="s">
        <v>1033</v>
      </c>
    </row>
    <row r="531" spans="1:1">
      <c r="A531" s="87" t="s">
        <v>1034</v>
      </c>
    </row>
    <row r="532" spans="1:1">
      <c r="A532" s="87" t="s">
        <v>595</v>
      </c>
    </row>
    <row r="533" spans="1:1">
      <c r="A533" s="87" t="s">
        <v>1035</v>
      </c>
    </row>
    <row r="534" spans="1:1">
      <c r="A534" s="87" t="s">
        <v>597</v>
      </c>
    </row>
    <row r="535" spans="1:1">
      <c r="A535" s="87" t="s">
        <v>1036</v>
      </c>
    </row>
    <row r="536" spans="1:1">
      <c r="A536" s="87" t="s">
        <v>598</v>
      </c>
    </row>
    <row r="537" spans="1:1">
      <c r="A537" s="87" t="s">
        <v>1037</v>
      </c>
    </row>
    <row r="538" spans="1:1">
      <c r="A538" s="87" t="s">
        <v>599</v>
      </c>
    </row>
    <row r="539" spans="1:1">
      <c r="A539" s="87" t="s">
        <v>600</v>
      </c>
    </row>
    <row r="540" spans="1:1">
      <c r="A540" s="87" t="s">
        <v>601</v>
      </c>
    </row>
    <row r="541" spans="1:1">
      <c r="A541" s="87" t="s">
        <v>602</v>
      </c>
    </row>
    <row r="542" spans="1:1">
      <c r="A542" s="87" t="s">
        <v>1038</v>
      </c>
    </row>
    <row r="543" spans="1:1">
      <c r="A543" s="87" t="s">
        <v>603</v>
      </c>
    </row>
    <row r="544" spans="1:1">
      <c r="A544" s="87" t="s">
        <v>1039</v>
      </c>
    </row>
    <row r="545" spans="1:1">
      <c r="A545" s="87" t="s">
        <v>605</v>
      </c>
    </row>
    <row r="546" spans="1:1">
      <c r="A546" s="87" t="s">
        <v>606</v>
      </c>
    </row>
    <row r="547" spans="1:1">
      <c r="A547" s="87" t="s">
        <v>607</v>
      </c>
    </row>
    <row r="548" spans="1:1">
      <c r="A548" s="87" t="s">
        <v>1040</v>
      </c>
    </row>
    <row r="549" spans="1:1">
      <c r="A549" s="87" t="s">
        <v>1041</v>
      </c>
    </row>
    <row r="550" spans="1:1">
      <c r="A550" s="87" t="s">
        <v>1042</v>
      </c>
    </row>
    <row r="551" spans="1:1">
      <c r="A551" s="87" t="s">
        <v>1043</v>
      </c>
    </row>
    <row r="552" spans="1:1">
      <c r="A552" s="87" t="s">
        <v>610</v>
      </c>
    </row>
    <row r="553" spans="1:1">
      <c r="A553" s="87" t="s">
        <v>611</v>
      </c>
    </row>
    <row r="554" spans="1:1">
      <c r="A554" s="87" t="s">
        <v>612</v>
      </c>
    </row>
    <row r="555" spans="1:1">
      <c r="A555" s="87" t="s">
        <v>1044</v>
      </c>
    </row>
    <row r="556" spans="1:1">
      <c r="A556" s="87" t="s">
        <v>614</v>
      </c>
    </row>
    <row r="557" spans="1:1">
      <c r="A557" s="90" t="s">
        <v>1045</v>
      </c>
    </row>
    <row r="558" spans="1:1">
      <c r="A558" s="87" t="s">
        <v>615</v>
      </c>
    </row>
    <row r="559" spans="1:1">
      <c r="A559" s="87" t="s">
        <v>616</v>
      </c>
    </row>
    <row r="560" spans="1:1">
      <c r="A560" s="87" t="s">
        <v>1046</v>
      </c>
    </row>
    <row r="561" spans="1:1">
      <c r="A561" s="87" t="s">
        <v>617</v>
      </c>
    </row>
    <row r="562" spans="1:1">
      <c r="A562" s="87" t="s">
        <v>618</v>
      </c>
    </row>
    <row r="563" spans="1:1">
      <c r="A563" s="87" t="s">
        <v>619</v>
      </c>
    </row>
    <row r="564" spans="1:1">
      <c r="A564" s="87" t="s">
        <v>620</v>
      </c>
    </row>
    <row r="565" spans="1:1">
      <c r="A565" s="87" t="s">
        <v>1047</v>
      </c>
    </row>
    <row r="566" spans="1:1">
      <c r="A566" s="87" t="s">
        <v>623</v>
      </c>
    </row>
    <row r="567" spans="1:1">
      <c r="A567" s="87" t="s">
        <v>624</v>
      </c>
    </row>
    <row r="568" spans="1:1">
      <c r="A568" s="87" t="s">
        <v>1048</v>
      </c>
    </row>
    <row r="569" spans="1:1">
      <c r="A569" s="87" t="s">
        <v>1049</v>
      </c>
    </row>
    <row r="570" spans="1:1">
      <c r="A570" s="87" t="s">
        <v>625</v>
      </c>
    </row>
    <row r="571" spans="1:1">
      <c r="A571" s="87" t="s">
        <v>626</v>
      </c>
    </row>
    <row r="572" spans="1:1">
      <c r="A572" s="87" t="s">
        <v>1050</v>
      </c>
    </row>
    <row r="573" spans="1:1">
      <c r="A573" s="87" t="s">
        <v>1051</v>
      </c>
    </row>
    <row r="574" spans="1:1">
      <c r="A574" s="87" t="s">
        <v>627</v>
      </c>
    </row>
    <row r="575" spans="1:1">
      <c r="A575" s="87" t="s">
        <v>628</v>
      </c>
    </row>
    <row r="576" spans="1:1">
      <c r="A576" s="87" t="s">
        <v>629</v>
      </c>
    </row>
    <row r="577" spans="1:1">
      <c r="A577" s="87" t="s">
        <v>632</v>
      </c>
    </row>
    <row r="578" spans="1:1">
      <c r="A578" s="87" t="s">
        <v>634</v>
      </c>
    </row>
    <row r="579" spans="1:1">
      <c r="A579" s="90" t="s">
        <v>1052</v>
      </c>
    </row>
    <row r="580" spans="1:1">
      <c r="A580" s="87" t="s">
        <v>1053</v>
      </c>
    </row>
    <row r="581" spans="1:1">
      <c r="A581" s="87" t="s">
        <v>1054</v>
      </c>
    </row>
    <row r="582" spans="1:1">
      <c r="A582" s="87" t="s">
        <v>636</v>
      </c>
    </row>
    <row r="583" spans="1:1">
      <c r="A583" s="87" t="s">
        <v>637</v>
      </c>
    </row>
    <row r="584" spans="1:1">
      <c r="A584" s="87" t="s">
        <v>638</v>
      </c>
    </row>
    <row r="585" spans="1:1">
      <c r="A585" s="87" t="s">
        <v>1055</v>
      </c>
    </row>
    <row r="586" spans="1:1">
      <c r="A586" s="87" t="s">
        <v>1056</v>
      </c>
    </row>
    <row r="587" spans="1:1">
      <c r="A587" s="87" t="s">
        <v>1057</v>
      </c>
    </row>
    <row r="588" spans="1:1">
      <c r="A588" s="87" t="s">
        <v>1058</v>
      </c>
    </row>
    <row r="589" spans="1:1">
      <c r="A589" s="87" t="s">
        <v>1059</v>
      </c>
    </row>
    <row r="590" spans="1:1">
      <c r="A590" s="87" t="s">
        <v>849</v>
      </c>
    </row>
    <row r="591" spans="1:1">
      <c r="A591" s="87" t="s">
        <v>1060</v>
      </c>
    </row>
    <row r="592" spans="1:1">
      <c r="A592" s="87" t="s">
        <v>1061</v>
      </c>
    </row>
    <row r="593" spans="1:1">
      <c r="A593" s="87" t="s">
        <v>1062</v>
      </c>
    </row>
    <row r="594" spans="1:1">
      <c r="A594" s="87" t="s">
        <v>1063</v>
      </c>
    </row>
    <row r="595" spans="1:1">
      <c r="A595" s="87" t="s">
        <v>1064</v>
      </c>
    </row>
    <row r="596" spans="1:1">
      <c r="A596" s="87" t="s">
        <v>1065</v>
      </c>
    </row>
    <row r="597" spans="1:1">
      <c r="A597" s="87" t="s">
        <v>850</v>
      </c>
    </row>
    <row r="598" spans="1:1">
      <c r="A598" s="87" t="s">
        <v>639</v>
      </c>
    </row>
    <row r="599" spans="1:1">
      <c r="A599" s="87" t="s">
        <v>1066</v>
      </c>
    </row>
    <row r="600" spans="1:1">
      <c r="A600" s="87" t="s">
        <v>1067</v>
      </c>
    </row>
    <row r="601" spans="1:1">
      <c r="A601" s="87" t="s">
        <v>1068</v>
      </c>
    </row>
    <row r="602" spans="1:1">
      <c r="A602" s="87" t="s">
        <v>640</v>
      </c>
    </row>
    <row r="603" spans="1:1">
      <c r="A603" s="87" t="s">
        <v>641</v>
      </c>
    </row>
    <row r="604" spans="1:1">
      <c r="A604" s="87" t="s">
        <v>1069</v>
      </c>
    </row>
    <row r="605" spans="1:1">
      <c r="A605" s="87" t="s">
        <v>642</v>
      </c>
    </row>
    <row r="606" spans="1:1">
      <c r="A606" s="87" t="s">
        <v>643</v>
      </c>
    </row>
    <row r="607" spans="1:1">
      <c r="A607" s="87" t="s">
        <v>645</v>
      </c>
    </row>
    <row r="608" spans="1:1">
      <c r="A608" s="87" t="s">
        <v>646</v>
      </c>
    </row>
    <row r="609" spans="1:1">
      <c r="A609" s="87" t="s">
        <v>647</v>
      </c>
    </row>
    <row r="610" spans="1:1">
      <c r="A610" s="87" t="s">
        <v>1070</v>
      </c>
    </row>
    <row r="611" spans="1:1">
      <c r="A611" s="87" t="s">
        <v>650</v>
      </c>
    </row>
    <row r="612" spans="1:1">
      <c r="A612" s="87" t="s">
        <v>651</v>
      </c>
    </row>
    <row r="613" spans="1:1">
      <c r="A613" s="87" t="s">
        <v>652</v>
      </c>
    </row>
    <row r="614" spans="1:1">
      <c r="A614" s="87" t="s">
        <v>654</v>
      </c>
    </row>
    <row r="615" spans="1:1">
      <c r="A615" s="87" t="s">
        <v>1071</v>
      </c>
    </row>
    <row r="616" spans="1:1">
      <c r="A616" s="87" t="s">
        <v>656</v>
      </c>
    </row>
    <row r="617" spans="1:1">
      <c r="A617" s="87" t="s">
        <v>1072</v>
      </c>
    </row>
    <row r="618" spans="1:1">
      <c r="A618" s="87" t="s">
        <v>1073</v>
      </c>
    </row>
    <row r="619" spans="1:1">
      <c r="A619" s="87" t="s">
        <v>659</v>
      </c>
    </row>
    <row r="620" spans="1:1">
      <c r="A620" s="87" t="s">
        <v>1074</v>
      </c>
    </row>
    <row r="621" spans="1:1">
      <c r="A621" s="87" t="s">
        <v>660</v>
      </c>
    </row>
    <row r="622" spans="1:1">
      <c r="A622" s="87" t="s">
        <v>661</v>
      </c>
    </row>
    <row r="623" spans="1:1">
      <c r="A623" s="87" t="s">
        <v>1075</v>
      </c>
    </row>
    <row r="624" spans="1:1">
      <c r="A624" s="87" t="s">
        <v>663</v>
      </c>
    </row>
    <row r="625" spans="1:1">
      <c r="A625" s="87" t="s">
        <v>664</v>
      </c>
    </row>
    <row r="626" spans="1:1">
      <c r="A626" s="87" t="s">
        <v>665</v>
      </c>
    </row>
    <row r="627" spans="1:1">
      <c r="A627" s="87" t="s">
        <v>666</v>
      </c>
    </row>
    <row r="628" spans="1:1">
      <c r="A628" s="87" t="s">
        <v>667</v>
      </c>
    </row>
    <row r="629" spans="1:1">
      <c r="A629" s="87" t="s">
        <v>668</v>
      </c>
    </row>
    <row r="630" spans="1:1">
      <c r="A630" s="87" t="s">
        <v>1076</v>
      </c>
    </row>
    <row r="631" spans="1:1">
      <c r="A631" s="87" t="s">
        <v>669</v>
      </c>
    </row>
    <row r="632" spans="1:1">
      <c r="A632" s="87" t="s">
        <v>1077</v>
      </c>
    </row>
    <row r="633" spans="1:1">
      <c r="A633" s="87" t="s">
        <v>1078</v>
      </c>
    </row>
    <row r="634" spans="1:1">
      <c r="A634" s="87" t="s">
        <v>672</v>
      </c>
    </row>
    <row r="635" spans="1:1">
      <c r="A635" s="87" t="s">
        <v>677</v>
      </c>
    </row>
    <row r="636" spans="1:1">
      <c r="A636" s="87" t="s">
        <v>1079</v>
      </c>
    </row>
    <row r="637" spans="1:1">
      <c r="A637" s="87" t="s">
        <v>1080</v>
      </c>
    </row>
    <row r="638" spans="1:1">
      <c r="A638" s="87" t="s">
        <v>1081</v>
      </c>
    </row>
    <row r="639" spans="1:1">
      <c r="A639" s="87" t="s">
        <v>1082</v>
      </c>
    </row>
    <row r="640" spans="1:1">
      <c r="A640" s="87" t="s">
        <v>1083</v>
      </c>
    </row>
    <row r="641" spans="1:1">
      <c r="A641" s="87" t="s">
        <v>679</v>
      </c>
    </row>
    <row r="642" spans="1:1">
      <c r="A642" s="87" t="s">
        <v>1084</v>
      </c>
    </row>
    <row r="643" spans="1:1">
      <c r="A643" s="90" t="s">
        <v>851</v>
      </c>
    </row>
    <row r="644" spans="1:1">
      <c r="A644" s="87" t="s">
        <v>682</v>
      </c>
    </row>
    <row r="645" spans="1:1">
      <c r="A645" s="87" t="s">
        <v>1085</v>
      </c>
    </row>
    <row r="646" spans="1:1">
      <c r="A646" s="87" t="s">
        <v>1086</v>
      </c>
    </row>
    <row r="647" spans="1:1">
      <c r="A647" s="87" t="s">
        <v>683</v>
      </c>
    </row>
    <row r="648" spans="1:1">
      <c r="A648" s="87" t="s">
        <v>1087</v>
      </c>
    </row>
    <row r="649" spans="1:1">
      <c r="A649" s="87" t="s">
        <v>1088</v>
      </c>
    </row>
    <row r="650" spans="1:1">
      <c r="A650" s="87" t="s">
        <v>684</v>
      </c>
    </row>
    <row r="651" spans="1:1">
      <c r="A651" s="87" t="s">
        <v>1089</v>
      </c>
    </row>
    <row r="652" spans="1:1">
      <c r="A652" s="87" t="s">
        <v>1090</v>
      </c>
    </row>
    <row r="653" spans="1:1">
      <c r="A653" s="87" t="s">
        <v>685</v>
      </c>
    </row>
    <row r="654" spans="1:1">
      <c r="A654" s="87" t="s">
        <v>1091</v>
      </c>
    </row>
    <row r="655" spans="1:1">
      <c r="A655" s="87" t="s">
        <v>1092</v>
      </c>
    </row>
    <row r="656" spans="1:1">
      <c r="A656" s="87" t="s">
        <v>686</v>
      </c>
    </row>
    <row r="657" spans="1:1">
      <c r="A657" s="87" t="s">
        <v>687</v>
      </c>
    </row>
    <row r="658" spans="1:1">
      <c r="A658" s="87" t="s">
        <v>1093</v>
      </c>
    </row>
    <row r="659" spans="1:1">
      <c r="A659" s="87" t="s">
        <v>688</v>
      </c>
    </row>
    <row r="660" spans="1:1">
      <c r="A660" s="87" t="s">
        <v>689</v>
      </c>
    </row>
    <row r="661" spans="1:1">
      <c r="A661" s="87" t="s">
        <v>1094</v>
      </c>
    </row>
    <row r="662" spans="1:1">
      <c r="A662" s="87" t="s">
        <v>1095</v>
      </c>
    </row>
    <row r="663" spans="1:1">
      <c r="A663" s="87" t="s">
        <v>1096</v>
      </c>
    </row>
    <row r="664" spans="1:1">
      <c r="A664" s="87" t="s">
        <v>1097</v>
      </c>
    </row>
    <row r="665" spans="1:1">
      <c r="A665" s="87" t="s">
        <v>1098</v>
      </c>
    </row>
    <row r="666" spans="1:1">
      <c r="A666" s="87" t="s">
        <v>693</v>
      </c>
    </row>
    <row r="667" spans="1:1">
      <c r="A667" s="87" t="s">
        <v>1099</v>
      </c>
    </row>
    <row r="668" spans="1:1">
      <c r="A668" s="87" t="s">
        <v>1100</v>
      </c>
    </row>
    <row r="669" spans="1:1">
      <c r="A669" s="87" t="s">
        <v>694</v>
      </c>
    </row>
    <row r="670" spans="1:1">
      <c r="A670" s="87" t="s">
        <v>695</v>
      </c>
    </row>
    <row r="671" spans="1:1">
      <c r="A671" s="87" t="s">
        <v>696</v>
      </c>
    </row>
    <row r="672" spans="1:1">
      <c r="A672" s="87" t="s">
        <v>1101</v>
      </c>
    </row>
    <row r="673" spans="1:1">
      <c r="A673" s="87" t="s">
        <v>699</v>
      </c>
    </row>
    <row r="674" spans="1:1">
      <c r="A674" s="87" t="s">
        <v>700</v>
      </c>
    </row>
    <row r="675" spans="1:1">
      <c r="A675" s="87" t="s">
        <v>1102</v>
      </c>
    </row>
    <row r="676" spans="1:1">
      <c r="A676" s="87" t="s">
        <v>701</v>
      </c>
    </row>
    <row r="677" spans="1:1">
      <c r="A677" s="87" t="s">
        <v>705</v>
      </c>
    </row>
    <row r="678" spans="1:1">
      <c r="A678" s="87" t="s">
        <v>1103</v>
      </c>
    </row>
    <row r="679" spans="1:1">
      <c r="A679" s="87" t="s">
        <v>1104</v>
      </c>
    </row>
    <row r="680" spans="1:1">
      <c r="A680" s="87" t="s">
        <v>707</v>
      </c>
    </row>
    <row r="681" spans="1:1">
      <c r="A681" s="87" t="s">
        <v>708</v>
      </c>
    </row>
    <row r="682" spans="1:1">
      <c r="A682" s="87" t="s">
        <v>710</v>
      </c>
    </row>
    <row r="683" spans="1:1">
      <c r="A683" s="87" t="s">
        <v>711</v>
      </c>
    </row>
    <row r="684" spans="1:1">
      <c r="A684" s="87" t="s">
        <v>1105</v>
      </c>
    </row>
    <row r="685" spans="1:1">
      <c r="A685" s="87" t="s">
        <v>1106</v>
      </c>
    </row>
    <row r="686" spans="1:1">
      <c r="A686" s="87" t="s">
        <v>1107</v>
      </c>
    </row>
    <row r="687" spans="1:1">
      <c r="A687" s="87" t="s">
        <v>1108</v>
      </c>
    </row>
    <row r="688" spans="1:1">
      <c r="A688" s="87" t="s">
        <v>712</v>
      </c>
    </row>
    <row r="689" spans="1:1">
      <c r="A689" s="87" t="s">
        <v>1109</v>
      </c>
    </row>
    <row r="690" spans="1:1">
      <c r="A690" s="87" t="s">
        <v>1110</v>
      </c>
    </row>
    <row r="691" spans="1:1">
      <c r="A691" s="87" t="s">
        <v>715</v>
      </c>
    </row>
    <row r="692" spans="1:1">
      <c r="A692" s="87" t="s">
        <v>1111</v>
      </c>
    </row>
    <row r="693" spans="1:1">
      <c r="A693" s="87" t="s">
        <v>719</v>
      </c>
    </row>
    <row r="694" spans="1:1">
      <c r="A694" s="87" t="s">
        <v>1112</v>
      </c>
    </row>
    <row r="695" spans="1:1">
      <c r="A695" s="87" t="s">
        <v>722</v>
      </c>
    </row>
    <row r="696" spans="1:1">
      <c r="A696" s="87" t="s">
        <v>1113</v>
      </c>
    </row>
    <row r="697" spans="1:1">
      <c r="A697" s="87" t="s">
        <v>1114</v>
      </c>
    </row>
    <row r="698" spans="1:1">
      <c r="A698" s="87" t="s">
        <v>1115</v>
      </c>
    </row>
    <row r="699" spans="1:1">
      <c r="A699" s="87" t="s">
        <v>1116</v>
      </c>
    </row>
    <row r="700" spans="1:1">
      <c r="A700" s="87" t="s">
        <v>1117</v>
      </c>
    </row>
    <row r="701" spans="1:1">
      <c r="A701" s="87" t="s">
        <v>852</v>
      </c>
    </row>
    <row r="702" spans="1:1">
      <c r="A702" s="87" t="s">
        <v>1118</v>
      </c>
    </row>
    <row r="703" spans="1:1">
      <c r="A703" s="87" t="s">
        <v>1119</v>
      </c>
    </row>
    <row r="704" spans="1:1">
      <c r="A704" s="87" t="s">
        <v>1120</v>
      </c>
    </row>
    <row r="705" spans="1:1">
      <c r="A705" s="87" t="s">
        <v>1121</v>
      </c>
    </row>
    <row r="706" spans="1:1">
      <c r="A706" s="87" t="s">
        <v>1122</v>
      </c>
    </row>
    <row r="707" spans="1:1">
      <c r="A707" s="87" t="s">
        <v>1123</v>
      </c>
    </row>
    <row r="708" spans="1:1">
      <c r="A708" s="87" t="s">
        <v>1124</v>
      </c>
    </row>
    <row r="709" spans="1:1">
      <c r="A709" s="87" t="s">
        <v>1125</v>
      </c>
    </row>
    <row r="710" spans="1:1">
      <c r="A710" s="87" t="s">
        <v>1126</v>
      </c>
    </row>
    <row r="711" spans="1:1">
      <c r="A711" s="90" t="s">
        <v>1127</v>
      </c>
    </row>
    <row r="712" spans="1:1">
      <c r="A712" s="90" t="s">
        <v>1128</v>
      </c>
    </row>
    <row r="713" spans="1:1">
      <c r="A713" s="90" t="s">
        <v>1129</v>
      </c>
    </row>
    <row r="714" spans="1:1">
      <c r="A714" s="87" t="s">
        <v>1130</v>
      </c>
    </row>
    <row r="715" spans="1:1">
      <c r="A715" s="87" t="s">
        <v>1131</v>
      </c>
    </row>
    <row r="716" spans="1:1">
      <c r="A716" s="87" t="s">
        <v>1132</v>
      </c>
    </row>
    <row r="717" spans="1:1">
      <c r="A717" s="87" t="s">
        <v>1133</v>
      </c>
    </row>
    <row r="718" spans="1:1">
      <c r="A718" s="87" t="s">
        <v>728</v>
      </c>
    </row>
    <row r="719" spans="1:1">
      <c r="A719" s="87" t="s">
        <v>729</v>
      </c>
    </row>
    <row r="720" spans="1:1">
      <c r="A720" s="87" t="s">
        <v>1134</v>
      </c>
    </row>
    <row r="721" spans="1:1">
      <c r="A721" s="87" t="s">
        <v>1135</v>
      </c>
    </row>
    <row r="722" spans="1:1">
      <c r="A722" s="87" t="s">
        <v>1136</v>
      </c>
    </row>
    <row r="723" spans="1:1">
      <c r="A723" s="87" t="s">
        <v>1137</v>
      </c>
    </row>
    <row r="724" spans="1:1">
      <c r="A724" s="87" t="s">
        <v>731</v>
      </c>
    </row>
    <row r="725" spans="1:1">
      <c r="A725" s="87" t="s">
        <v>1138</v>
      </c>
    </row>
    <row r="726" spans="1:1">
      <c r="A726" s="87" t="s">
        <v>734</v>
      </c>
    </row>
    <row r="727" spans="1:1">
      <c r="A727" s="87" t="s">
        <v>1139</v>
      </c>
    </row>
    <row r="728" spans="1:1">
      <c r="A728" s="87" t="s">
        <v>735</v>
      </c>
    </row>
    <row r="729" spans="1:1">
      <c r="A729" s="87" t="s">
        <v>737</v>
      </c>
    </row>
    <row r="730" spans="1:1">
      <c r="A730" s="87" t="s">
        <v>738</v>
      </c>
    </row>
    <row r="731" spans="1:1">
      <c r="A731" s="87" t="s">
        <v>739</v>
      </c>
    </row>
    <row r="732" spans="1:1">
      <c r="A732" s="87" t="s">
        <v>1140</v>
      </c>
    </row>
    <row r="733" spans="1:1">
      <c r="A733" s="87" t="s">
        <v>741</v>
      </c>
    </row>
    <row r="734" spans="1:1">
      <c r="A734" s="87" t="s">
        <v>743</v>
      </c>
    </row>
    <row r="735" spans="1:1">
      <c r="A735" s="87" t="s">
        <v>744</v>
      </c>
    </row>
    <row r="736" spans="1:1">
      <c r="A736" s="87" t="s">
        <v>745</v>
      </c>
    </row>
    <row r="737" spans="1:1">
      <c r="A737" s="87" t="s">
        <v>1141</v>
      </c>
    </row>
    <row r="738" spans="1:1">
      <c r="A738" s="87" t="s">
        <v>746</v>
      </c>
    </row>
    <row r="739" spans="1:1">
      <c r="A739" s="87" t="s">
        <v>1142</v>
      </c>
    </row>
    <row r="740" spans="1:1">
      <c r="A740" s="87" t="s">
        <v>1143</v>
      </c>
    </row>
    <row r="741" spans="1:1">
      <c r="A741" s="87" t="s">
        <v>748</v>
      </c>
    </row>
    <row r="742" spans="1:1">
      <c r="A742" s="87" t="s">
        <v>749</v>
      </c>
    </row>
    <row r="743" spans="1:1">
      <c r="A743" s="87" t="s">
        <v>1144</v>
      </c>
    </row>
    <row r="744" spans="1:1">
      <c r="A744" s="87" t="s">
        <v>756</v>
      </c>
    </row>
    <row r="745" spans="1:1">
      <c r="A745" s="87" t="s">
        <v>1145</v>
      </c>
    </row>
    <row r="746" spans="1:1">
      <c r="A746" s="87" t="s">
        <v>757</v>
      </c>
    </row>
    <row r="747" spans="1:1">
      <c r="A747" s="87" t="s">
        <v>1146</v>
      </c>
    </row>
    <row r="748" spans="1:1">
      <c r="A748" s="87" t="s">
        <v>1147</v>
      </c>
    </row>
    <row r="749" spans="1:1">
      <c r="A749" s="87" t="s">
        <v>1148</v>
      </c>
    </row>
    <row r="750" spans="1:1">
      <c r="A750" s="87" t="s">
        <v>1149</v>
      </c>
    </row>
    <row r="751" spans="1:1">
      <c r="A751" s="87" t="s">
        <v>1150</v>
      </c>
    </row>
    <row r="752" spans="1:1">
      <c r="A752" s="87" t="s">
        <v>1151</v>
      </c>
    </row>
    <row r="753" spans="1:1">
      <c r="A753" s="87" t="s">
        <v>759</v>
      </c>
    </row>
    <row r="754" spans="1:1">
      <c r="A754" s="87" t="s">
        <v>761</v>
      </c>
    </row>
    <row r="755" spans="1:1">
      <c r="A755" s="87" t="s">
        <v>1152</v>
      </c>
    </row>
    <row r="756" spans="1:1">
      <c r="A756" s="87" t="s">
        <v>1153</v>
      </c>
    </row>
    <row r="757" spans="1:1">
      <c r="A757" s="87" t="s">
        <v>1154</v>
      </c>
    </row>
    <row r="758" spans="1:1">
      <c r="A758" s="87" t="s">
        <v>1155</v>
      </c>
    </row>
    <row r="759" spans="1:1">
      <c r="A759" s="87" t="s">
        <v>1156</v>
      </c>
    </row>
    <row r="760" spans="1:1">
      <c r="A760" s="87" t="s">
        <v>762</v>
      </c>
    </row>
    <row r="761" spans="1:1">
      <c r="A761" s="87" t="s">
        <v>764</v>
      </c>
    </row>
    <row r="762" spans="1:1">
      <c r="A762" s="87" t="s">
        <v>767</v>
      </c>
    </row>
    <row r="763" spans="1:1">
      <c r="A763" s="87" t="s">
        <v>1157</v>
      </c>
    </row>
    <row r="764" spans="1:1">
      <c r="A764" s="87" t="s">
        <v>1158</v>
      </c>
    </row>
    <row r="765" spans="1:1">
      <c r="A765" s="87" t="s">
        <v>1159</v>
      </c>
    </row>
    <row r="766" spans="1:1">
      <c r="A766" s="87" t="s">
        <v>769</v>
      </c>
    </row>
    <row r="767" spans="1:1">
      <c r="A767" s="87" t="s">
        <v>1160</v>
      </c>
    </row>
    <row r="768" spans="1:1">
      <c r="A768" s="87" t="s">
        <v>1161</v>
      </c>
    </row>
    <row r="769" spans="1:1">
      <c r="A769" s="87" t="s">
        <v>1162</v>
      </c>
    </row>
    <row r="770" spans="1:1">
      <c r="A770" s="87" t="s">
        <v>1163</v>
      </c>
    </row>
    <row r="771" spans="1:1">
      <c r="A771" s="87" t="s">
        <v>773</v>
      </c>
    </row>
    <row r="772" spans="1:1">
      <c r="A772" s="87" t="s">
        <v>774</v>
      </c>
    </row>
    <row r="773" spans="1:1">
      <c r="A773" s="87" t="s">
        <v>1164</v>
      </c>
    </row>
    <row r="774" spans="1:1">
      <c r="A774" s="87" t="s">
        <v>1165</v>
      </c>
    </row>
    <row r="775" spans="1:1">
      <c r="A775" s="87" t="s">
        <v>1166</v>
      </c>
    </row>
    <row r="776" spans="1:1">
      <c r="A776" s="87" t="s">
        <v>1167</v>
      </c>
    </row>
    <row r="777" spans="1:1">
      <c r="A777" s="87" t="s">
        <v>1168</v>
      </c>
    </row>
    <row r="778" spans="1:1">
      <c r="A778" s="87" t="s">
        <v>776</v>
      </c>
    </row>
    <row r="779" spans="1:1">
      <c r="A779" s="87" t="s">
        <v>1169</v>
      </c>
    </row>
    <row r="780" spans="1:1">
      <c r="A780" s="87" t="s">
        <v>1170</v>
      </c>
    </row>
    <row r="781" spans="1:1">
      <c r="A781" s="87" t="s">
        <v>780</v>
      </c>
    </row>
    <row r="782" spans="1:1">
      <c r="A782" s="87" t="s">
        <v>1171</v>
      </c>
    </row>
    <row r="783" spans="1:1">
      <c r="A783" s="87" t="s">
        <v>1172</v>
      </c>
    </row>
    <row r="784" spans="1:1">
      <c r="A784" s="87" t="s">
        <v>1173</v>
      </c>
    </row>
    <row r="785" spans="1:1">
      <c r="A785" s="87" t="s">
        <v>785</v>
      </c>
    </row>
    <row r="786" spans="1:1">
      <c r="A786" s="87" t="s">
        <v>1174</v>
      </c>
    </row>
    <row r="787" spans="1:1">
      <c r="A787" s="87" t="s">
        <v>1175</v>
      </c>
    </row>
    <row r="788" spans="1:1">
      <c r="A788" s="87" t="s">
        <v>1176</v>
      </c>
    </row>
    <row r="789" spans="1:1">
      <c r="A789" s="87" t="s">
        <v>1177</v>
      </c>
    </row>
    <row r="790" spans="1:1">
      <c r="A790" s="87" t="s">
        <v>1178</v>
      </c>
    </row>
    <row r="791" spans="1:1">
      <c r="A791" s="87" t="s">
        <v>787</v>
      </c>
    </row>
    <row r="792" spans="1:1">
      <c r="A792" s="87" t="s">
        <v>788</v>
      </c>
    </row>
    <row r="793" spans="1:1">
      <c r="A793" s="87" t="s">
        <v>1179</v>
      </c>
    </row>
    <row r="794" spans="1:1">
      <c r="A794" s="87" t="s">
        <v>1180</v>
      </c>
    </row>
    <row r="795" spans="1:1">
      <c r="A795" s="87" t="s">
        <v>1181</v>
      </c>
    </row>
    <row r="796" spans="1:1">
      <c r="A796" s="87" t="s">
        <v>1182</v>
      </c>
    </row>
    <row r="797" spans="1:1">
      <c r="A797" s="87" t="s">
        <v>1183</v>
      </c>
    </row>
    <row r="798" spans="1:1">
      <c r="A798" s="87" t="s">
        <v>791</v>
      </c>
    </row>
    <row r="799" spans="1:1">
      <c r="A799" s="87" t="s">
        <v>792</v>
      </c>
    </row>
    <row r="800" spans="1:1">
      <c r="A800" s="87" t="s">
        <v>793</v>
      </c>
    </row>
    <row r="801" spans="1:1">
      <c r="A801" s="87" t="s">
        <v>794</v>
      </c>
    </row>
    <row r="802" spans="1:1">
      <c r="A802" s="87" t="s">
        <v>1184</v>
      </c>
    </row>
    <row r="803" spans="1:1">
      <c r="A803" s="87" t="s">
        <v>1185</v>
      </c>
    </row>
    <row r="804" spans="1:1">
      <c r="A804" s="87" t="s">
        <v>1186</v>
      </c>
    </row>
    <row r="805" spans="1:1">
      <c r="A805" s="87" t="s">
        <v>1187</v>
      </c>
    </row>
    <row r="806" spans="1:1">
      <c r="A806" s="87" t="s">
        <v>800</v>
      </c>
    </row>
    <row r="807" spans="1:1">
      <c r="A807" s="87" t="s">
        <v>801</v>
      </c>
    </row>
    <row r="808" spans="1:1">
      <c r="A808" s="87" t="s">
        <v>802</v>
      </c>
    </row>
    <row r="809" spans="1:1">
      <c r="A809" s="87" t="s">
        <v>803</v>
      </c>
    </row>
    <row r="810" spans="1:1">
      <c r="A810" s="87" t="s">
        <v>804</v>
      </c>
    </row>
    <row r="811" spans="1:1">
      <c r="A811" s="87" t="s">
        <v>805</v>
      </c>
    </row>
    <row r="812" spans="1:1">
      <c r="A812" s="87" t="s">
        <v>1188</v>
      </c>
    </row>
    <row r="813" spans="1:1">
      <c r="A813" s="87" t="s">
        <v>807</v>
      </c>
    </row>
    <row r="814" spans="1:1">
      <c r="A814" s="87" t="s">
        <v>1189</v>
      </c>
    </row>
    <row r="815" spans="1:1">
      <c r="A815" s="87" t="s">
        <v>1190</v>
      </c>
    </row>
    <row r="816" spans="1:1">
      <c r="A816" s="90" t="s">
        <v>1191</v>
      </c>
    </row>
    <row r="817" spans="1:1">
      <c r="A817" s="87" t="s">
        <v>815</v>
      </c>
    </row>
    <row r="818" spans="1:1">
      <c r="A818" s="87" t="s">
        <v>1192</v>
      </c>
    </row>
    <row r="819" spans="1:1">
      <c r="A819" s="87" t="s">
        <v>816</v>
      </c>
    </row>
    <row r="820" spans="1:1">
      <c r="A820" s="87" t="s">
        <v>817</v>
      </c>
    </row>
    <row r="821" spans="1:1">
      <c r="A821" s="87" t="s">
        <v>1193</v>
      </c>
    </row>
    <row r="822" spans="1:1">
      <c r="A822" s="87" t="s">
        <v>1194</v>
      </c>
    </row>
    <row r="823" spans="1:1">
      <c r="A823" s="87" t="s">
        <v>1195</v>
      </c>
    </row>
    <row r="824" spans="1:1">
      <c r="A824" s="87" t="s">
        <v>818</v>
      </c>
    </row>
    <row r="825" spans="1:1">
      <c r="A825" s="87" t="s">
        <v>819</v>
      </c>
    </row>
    <row r="826" spans="1:1">
      <c r="A826" s="87" t="s">
        <v>821</v>
      </c>
    </row>
    <row r="827" spans="1:1">
      <c r="A827" s="87" t="s">
        <v>822</v>
      </c>
    </row>
    <row r="828" spans="1:1">
      <c r="A828" s="87" t="s">
        <v>1196</v>
      </c>
    </row>
    <row r="829" spans="1:1">
      <c r="A829" s="87" t="s">
        <v>1197</v>
      </c>
    </row>
    <row r="830" spans="1:1">
      <c r="A830" s="87" t="s">
        <v>823</v>
      </c>
    </row>
    <row r="831" spans="1:1">
      <c r="A831" s="87" t="s">
        <v>824</v>
      </c>
    </row>
    <row r="832" spans="1:1">
      <c r="A832" s="87" t="s">
        <v>827</v>
      </c>
    </row>
    <row r="833" spans="1:1">
      <c r="A833" s="87" t="s">
        <v>828</v>
      </c>
    </row>
    <row r="834" spans="1:1">
      <c r="A834" s="87" t="s">
        <v>830</v>
      </c>
    </row>
    <row r="835" spans="1:1">
      <c r="A835" s="87" t="s">
        <v>1198</v>
      </c>
    </row>
    <row r="836" spans="1:1">
      <c r="A836" s="87" t="s">
        <v>833</v>
      </c>
    </row>
    <row r="837" spans="1:1">
      <c r="A837" s="87" t="s">
        <v>1199</v>
      </c>
    </row>
    <row r="838" spans="1:1">
      <c r="A838" s="87" t="s">
        <v>1200</v>
      </c>
    </row>
    <row r="839" spans="1:1">
      <c r="A839" s="87" t="s">
        <v>1201</v>
      </c>
    </row>
    <row r="840" spans="1:1">
      <c r="A840" s="87" t="s">
        <v>1202</v>
      </c>
    </row>
    <row r="841" spans="1:1">
      <c r="A841" s="87" t="s">
        <v>836</v>
      </c>
    </row>
    <row r="842" spans="1:1">
      <c r="A842" s="87" t="s">
        <v>837</v>
      </c>
    </row>
    <row r="843" spans="1:1">
      <c r="A843" s="87" t="s">
        <v>1203</v>
      </c>
    </row>
    <row r="844" spans="1:1">
      <c r="A844" s="87" t="s">
        <v>838</v>
      </c>
    </row>
    <row r="845" spans="1:1">
      <c r="A845" s="87" t="s">
        <v>1204</v>
      </c>
    </row>
    <row r="846" spans="1:1">
      <c r="A846" s="87" t="s">
        <v>1205</v>
      </c>
    </row>
    <row r="847" spans="1:1">
      <c r="A847" s="87" t="s">
        <v>215</v>
      </c>
    </row>
    <row r="848" spans="1:1">
      <c r="A848" s="87" t="s">
        <v>857</v>
      </c>
    </row>
    <row r="849" spans="1:5">
      <c r="A849" s="87" t="s">
        <v>858</v>
      </c>
    </row>
    <row r="850" spans="1:5">
      <c r="A850" s="87" t="s">
        <v>859</v>
      </c>
    </row>
    <row r="851" spans="1:5" ht="16" thickBot="1">
      <c r="A851" s="89" t="s">
        <v>217</v>
      </c>
    </row>
    <row r="852" spans="1:5" ht="17" thickTop="1" thickBot="1">
      <c r="A852" s="16"/>
    </row>
    <row r="853" spans="1:5" ht="16" thickTop="1">
      <c r="A853" s="91" t="s">
        <v>1444</v>
      </c>
      <c r="B853" s="46"/>
      <c r="C853" s="46"/>
      <c r="D853" s="46"/>
      <c r="E853" s="47"/>
    </row>
    <row r="854" spans="1:5">
      <c r="A854" s="48" t="s">
        <v>1454</v>
      </c>
      <c r="B854" s="16"/>
      <c r="C854" s="16"/>
      <c r="D854" s="16"/>
      <c r="E854" s="49"/>
    </row>
    <row r="855" spans="1:5">
      <c r="A855" s="48" t="s">
        <v>1409</v>
      </c>
      <c r="B855" s="16" t="s">
        <v>2108</v>
      </c>
      <c r="C855" s="16" t="s">
        <v>1408</v>
      </c>
      <c r="D855" s="92" t="s">
        <v>2109</v>
      </c>
      <c r="E855" s="49" t="s">
        <v>2</v>
      </c>
    </row>
    <row r="856" spans="1:5">
      <c r="A856" s="48" t="s">
        <v>1368</v>
      </c>
      <c r="B856" s="16">
        <v>1</v>
      </c>
      <c r="C856" s="16" t="s">
        <v>1434</v>
      </c>
      <c r="D856" s="16">
        <v>0</v>
      </c>
      <c r="E856" s="49"/>
    </row>
    <row r="857" spans="1:5">
      <c r="A857" s="48" t="s">
        <v>1312</v>
      </c>
      <c r="B857" s="16">
        <v>1</v>
      </c>
      <c r="C857" s="16" t="s">
        <v>1419</v>
      </c>
      <c r="D857" s="16">
        <v>0</v>
      </c>
      <c r="E857" s="49"/>
    </row>
    <row r="858" spans="1:5">
      <c r="A858" s="48" t="s">
        <v>1340</v>
      </c>
      <c r="B858" s="16">
        <v>1</v>
      </c>
      <c r="C858" s="16" t="s">
        <v>1427</v>
      </c>
      <c r="D858" s="16">
        <v>0</v>
      </c>
      <c r="E858" s="49"/>
    </row>
    <row r="859" spans="1:5">
      <c r="A859" s="48" t="s">
        <v>1289</v>
      </c>
      <c r="B859" s="16">
        <v>1</v>
      </c>
      <c r="C859" s="16" t="s">
        <v>1417</v>
      </c>
      <c r="D859" s="16">
        <v>0</v>
      </c>
      <c r="E859" s="49"/>
    </row>
    <row r="860" spans="1:5">
      <c r="A860" s="48" t="s">
        <v>1375</v>
      </c>
      <c r="B860" s="16">
        <v>1</v>
      </c>
      <c r="C860" s="16" t="s">
        <v>1435</v>
      </c>
      <c r="D860" s="16">
        <v>0</v>
      </c>
      <c r="E860" s="49"/>
    </row>
    <row r="861" spans="1:5">
      <c r="A861" s="48" t="s">
        <v>1284</v>
      </c>
      <c r="B861" s="16">
        <v>1</v>
      </c>
      <c r="C861" s="16" t="s">
        <v>1416</v>
      </c>
      <c r="D861" s="16">
        <v>0</v>
      </c>
      <c r="E861" s="49"/>
    </row>
    <row r="862" spans="1:5">
      <c r="A862" s="48" t="s">
        <v>1348</v>
      </c>
      <c r="B862" s="16">
        <v>1</v>
      </c>
      <c r="C862" s="16" t="s">
        <v>1430</v>
      </c>
      <c r="D862" s="16">
        <v>0</v>
      </c>
      <c r="E862" s="49"/>
    </row>
    <row r="863" spans="1:5">
      <c r="A863" s="48" t="s">
        <v>1255</v>
      </c>
      <c r="B863" s="16">
        <v>1</v>
      </c>
      <c r="C863" s="16" t="s">
        <v>1413</v>
      </c>
      <c r="D863" s="16">
        <v>0</v>
      </c>
      <c r="E863" s="49"/>
    </row>
    <row r="864" spans="1:5">
      <c r="A864" s="48" t="s">
        <v>1285</v>
      </c>
      <c r="B864" s="16">
        <v>1</v>
      </c>
      <c r="C864" s="16" t="s">
        <v>1416</v>
      </c>
      <c r="D864" s="16">
        <v>0</v>
      </c>
      <c r="E864" s="49"/>
    </row>
    <row r="865" spans="1:5">
      <c r="A865" s="48" t="s">
        <v>1381</v>
      </c>
      <c r="B865" s="16">
        <v>1</v>
      </c>
      <c r="C865" s="16" t="s">
        <v>1437</v>
      </c>
      <c r="D865" s="16">
        <v>0</v>
      </c>
      <c r="E865" s="49"/>
    </row>
    <row r="866" spans="1:5">
      <c r="A866" s="48" t="s">
        <v>1369</v>
      </c>
      <c r="B866" s="16">
        <v>1</v>
      </c>
      <c r="C866" s="16" t="s">
        <v>1434</v>
      </c>
      <c r="D866" s="16">
        <v>0</v>
      </c>
      <c r="E866" s="49"/>
    </row>
    <row r="867" spans="1:5">
      <c r="A867" s="48" t="s">
        <v>1393</v>
      </c>
      <c r="B867" s="16">
        <v>1</v>
      </c>
      <c r="C867" s="102" t="s">
        <v>1440</v>
      </c>
      <c r="D867" s="16">
        <v>0</v>
      </c>
      <c r="E867" s="49"/>
    </row>
    <row r="868" spans="1:5">
      <c r="A868" s="48" t="s">
        <v>1256</v>
      </c>
      <c r="B868" s="16">
        <v>1</v>
      </c>
      <c r="C868" s="16" t="s">
        <v>1413</v>
      </c>
      <c r="D868" s="16">
        <v>0</v>
      </c>
      <c r="E868" s="49"/>
    </row>
    <row r="869" spans="1:5">
      <c r="A869" s="48" t="s">
        <v>1349</v>
      </c>
      <c r="B869" s="16">
        <v>1</v>
      </c>
      <c r="C869" s="16" t="s">
        <v>1431</v>
      </c>
      <c r="D869" s="16">
        <v>0</v>
      </c>
      <c r="E869" s="49"/>
    </row>
    <row r="870" spans="1:5">
      <c r="A870" s="48" t="s">
        <v>1370</v>
      </c>
      <c r="B870" s="16">
        <v>1</v>
      </c>
      <c r="C870" s="16" t="s">
        <v>1434</v>
      </c>
      <c r="D870" s="16">
        <v>0</v>
      </c>
      <c r="E870" s="49"/>
    </row>
    <row r="871" spans="1:5">
      <c r="A871" s="48" t="s">
        <v>1383</v>
      </c>
      <c r="B871" s="16">
        <v>1</v>
      </c>
      <c r="C871" s="16" t="s">
        <v>1439</v>
      </c>
      <c r="D871" s="16">
        <v>0</v>
      </c>
      <c r="E871" s="49"/>
    </row>
    <row r="872" spans="1:5">
      <c r="A872" s="48" t="s">
        <v>1394</v>
      </c>
      <c r="B872" s="16">
        <v>1</v>
      </c>
      <c r="C872" s="102" t="s">
        <v>1440</v>
      </c>
      <c r="D872" s="16">
        <v>0</v>
      </c>
      <c r="E872" s="49"/>
    </row>
    <row r="873" spans="1:5">
      <c r="A873" s="48" t="s">
        <v>1362</v>
      </c>
      <c r="B873" s="16">
        <v>1</v>
      </c>
      <c r="C873" s="16" t="s">
        <v>1443</v>
      </c>
      <c r="D873" s="16">
        <v>0</v>
      </c>
      <c r="E873" s="49"/>
    </row>
    <row r="874" spans="1:5">
      <c r="A874" s="48" t="s">
        <v>1313</v>
      </c>
      <c r="B874" s="16">
        <v>1</v>
      </c>
      <c r="C874" s="16" t="s">
        <v>1420</v>
      </c>
      <c r="D874" s="16">
        <v>0</v>
      </c>
      <c r="E874" s="49"/>
    </row>
    <row r="875" spans="1:5">
      <c r="A875" s="48" t="s">
        <v>1384</v>
      </c>
      <c r="B875" s="16">
        <v>1</v>
      </c>
      <c r="C875" s="16" t="s">
        <v>1439</v>
      </c>
      <c r="D875" s="16">
        <v>0</v>
      </c>
      <c r="E875" s="49"/>
    </row>
    <row r="876" spans="1:5">
      <c r="A876" s="48" t="s">
        <v>1395</v>
      </c>
      <c r="B876" s="16">
        <v>1</v>
      </c>
      <c r="C876" s="102" t="s">
        <v>1440</v>
      </c>
      <c r="D876" s="16">
        <v>0</v>
      </c>
      <c r="E876" s="49"/>
    </row>
    <row r="877" spans="1:5">
      <c r="A877" s="48" t="s">
        <v>1295</v>
      </c>
      <c r="B877" s="16">
        <v>1</v>
      </c>
      <c r="C877" s="16" t="s">
        <v>1418</v>
      </c>
      <c r="D877" s="16">
        <v>0</v>
      </c>
      <c r="E877" s="49"/>
    </row>
    <row r="878" spans="1:5">
      <c r="A878" s="48" t="s">
        <v>1343</v>
      </c>
      <c r="B878" s="16">
        <v>1</v>
      </c>
      <c r="C878" s="16" t="s">
        <v>1428</v>
      </c>
      <c r="D878" s="16">
        <v>0</v>
      </c>
      <c r="E878" s="49"/>
    </row>
    <row r="879" spans="1:5">
      <c r="A879" s="48" t="s">
        <v>1257</v>
      </c>
      <c r="B879" s="16">
        <v>1</v>
      </c>
      <c r="C879" s="16" t="s">
        <v>1413</v>
      </c>
      <c r="D879" s="16">
        <v>0</v>
      </c>
      <c r="E879" s="49"/>
    </row>
    <row r="880" spans="1:5">
      <c r="A880" s="48" t="s">
        <v>1258</v>
      </c>
      <c r="B880" s="16">
        <v>1</v>
      </c>
      <c r="C880" s="16" t="s">
        <v>1413</v>
      </c>
      <c r="D880" s="16">
        <v>0</v>
      </c>
      <c r="E880" s="49"/>
    </row>
    <row r="881" spans="1:5">
      <c r="A881" s="48" t="s">
        <v>1253</v>
      </c>
      <c r="B881" s="16">
        <v>1</v>
      </c>
      <c r="C881" s="16" t="s">
        <v>1412</v>
      </c>
      <c r="D881" s="16">
        <v>0</v>
      </c>
      <c r="E881" s="49"/>
    </row>
    <row r="882" spans="1:5">
      <c r="A882" s="48" t="s">
        <v>1371</v>
      </c>
      <c r="B882" s="16">
        <v>1</v>
      </c>
      <c r="C882" s="16" t="s">
        <v>1434</v>
      </c>
      <c r="D882" s="16">
        <v>0</v>
      </c>
      <c r="E882" s="49"/>
    </row>
    <row r="883" spans="1:5">
      <c r="A883" s="48" t="s">
        <v>1396</v>
      </c>
      <c r="B883" s="16">
        <v>1</v>
      </c>
      <c r="C883" s="102" t="s">
        <v>1440</v>
      </c>
      <c r="D883" s="16">
        <v>0</v>
      </c>
      <c r="E883" s="49"/>
    </row>
    <row r="884" spans="1:5">
      <c r="A884" s="48" t="s">
        <v>1328</v>
      </c>
      <c r="B884" s="16">
        <v>1</v>
      </c>
      <c r="C884" s="16" t="s">
        <v>1421</v>
      </c>
      <c r="D884" s="16">
        <v>0</v>
      </c>
      <c r="E884" s="49"/>
    </row>
    <row r="885" spans="1:5">
      <c r="A885" s="48" t="s">
        <v>1372</v>
      </c>
      <c r="B885" s="16">
        <v>1</v>
      </c>
      <c r="C885" s="16" t="s">
        <v>1434</v>
      </c>
      <c r="D885" s="16">
        <v>0</v>
      </c>
      <c r="E885" s="49"/>
    </row>
    <row r="886" spans="1:5">
      <c r="A886" s="48" t="s">
        <v>1365</v>
      </c>
      <c r="B886" s="16">
        <v>1</v>
      </c>
      <c r="C886" s="16" t="s">
        <v>1433</v>
      </c>
      <c r="D886" s="16">
        <v>0</v>
      </c>
      <c r="E886" s="49"/>
    </row>
    <row r="887" spans="1:5">
      <c r="A887" s="48" t="s">
        <v>1376</v>
      </c>
      <c r="B887" s="16">
        <v>1</v>
      </c>
      <c r="C887" s="16" t="s">
        <v>1435</v>
      </c>
      <c r="D887" s="16">
        <v>0</v>
      </c>
      <c r="E887" s="49"/>
    </row>
    <row r="888" spans="1:5">
      <c r="A888" s="48" t="s">
        <v>1373</v>
      </c>
      <c r="B888" s="16"/>
      <c r="C888" s="16" t="s">
        <v>1434</v>
      </c>
      <c r="D888" s="16">
        <v>0</v>
      </c>
      <c r="E888" s="49"/>
    </row>
    <row r="889" spans="1:5">
      <c r="A889" s="48" t="s">
        <v>1397</v>
      </c>
      <c r="B889" s="16">
        <v>1</v>
      </c>
      <c r="C889" s="102" t="s">
        <v>1440</v>
      </c>
      <c r="D889" s="16">
        <v>0</v>
      </c>
      <c r="E889" s="49"/>
    </row>
    <row r="890" spans="1:5">
      <c r="A890" s="48" t="s">
        <v>1366</v>
      </c>
      <c r="B890" s="16"/>
      <c r="C890" s="16" t="s">
        <v>1433</v>
      </c>
      <c r="D890" s="16">
        <v>0</v>
      </c>
      <c r="E890" s="49"/>
    </row>
    <row r="891" spans="1:5">
      <c r="A891" s="48" t="s">
        <v>1309</v>
      </c>
      <c r="B891" s="16">
        <v>1</v>
      </c>
      <c r="C891" s="16" t="s">
        <v>1419</v>
      </c>
      <c r="D891" s="16">
        <v>0</v>
      </c>
      <c r="E891" s="49"/>
    </row>
    <row r="892" spans="1:5">
      <c r="A892" s="48" t="s">
        <v>1379</v>
      </c>
      <c r="B892" s="16">
        <v>1</v>
      </c>
      <c r="C892" s="16" t="s">
        <v>1436</v>
      </c>
      <c r="D892" s="16">
        <v>0</v>
      </c>
      <c r="E892" s="49"/>
    </row>
    <row r="893" spans="1:5">
      <c r="A893" s="48" t="s">
        <v>1350</v>
      </c>
      <c r="B893" s="16">
        <v>1</v>
      </c>
      <c r="C893" s="16" t="s">
        <v>1431</v>
      </c>
      <c r="D893" s="16">
        <v>0</v>
      </c>
      <c r="E893" s="49"/>
    </row>
    <row r="894" spans="1:5">
      <c r="A894" s="48" t="s">
        <v>1334</v>
      </c>
      <c r="B894" s="16">
        <v>1</v>
      </c>
      <c r="C894" s="16" t="s">
        <v>1425</v>
      </c>
      <c r="D894" s="16">
        <v>0</v>
      </c>
      <c r="E894" s="49"/>
    </row>
    <row r="895" spans="1:5">
      <c r="A895" s="48" t="s">
        <v>1398</v>
      </c>
      <c r="B895" s="16">
        <v>1</v>
      </c>
      <c r="C895" s="102" t="s">
        <v>1440</v>
      </c>
      <c r="D895" s="16">
        <v>0</v>
      </c>
      <c r="E895" s="49"/>
    </row>
    <row r="896" spans="1:5">
      <c r="A896" s="48" t="s">
        <v>1363</v>
      </c>
      <c r="B896" s="16"/>
      <c r="C896" s="16" t="s">
        <v>1443</v>
      </c>
      <c r="D896" s="16">
        <v>0</v>
      </c>
      <c r="E896" s="49"/>
    </row>
    <row r="897" spans="1:5">
      <c r="A897" s="48" t="s">
        <v>1259</v>
      </c>
      <c r="B897" s="16">
        <v>1</v>
      </c>
      <c r="C897" s="16" t="s">
        <v>1413</v>
      </c>
      <c r="D897" s="16">
        <v>0</v>
      </c>
      <c r="E897" s="49"/>
    </row>
    <row r="898" spans="1:5">
      <c r="A898" s="48" t="s">
        <v>1374</v>
      </c>
      <c r="B898" s="16">
        <v>1</v>
      </c>
      <c r="C898" s="16" t="s">
        <v>1434</v>
      </c>
      <c r="D898" s="16">
        <v>0</v>
      </c>
      <c r="E898" s="49"/>
    </row>
    <row r="899" spans="1:5">
      <c r="A899" s="48" t="s">
        <v>1260</v>
      </c>
      <c r="B899" s="16">
        <v>1</v>
      </c>
      <c r="C899" s="16" t="s">
        <v>1413</v>
      </c>
      <c r="D899" s="16">
        <v>0</v>
      </c>
      <c r="E899" s="49"/>
    </row>
    <row r="900" spans="1:5">
      <c r="A900" s="48" t="s">
        <v>1250</v>
      </c>
      <c r="B900" s="16">
        <v>1</v>
      </c>
      <c r="C900" s="16" t="s">
        <v>1411</v>
      </c>
      <c r="D900" s="16">
        <v>0</v>
      </c>
      <c r="E900" s="49"/>
    </row>
    <row r="901" spans="1:5">
      <c r="A901" s="48" t="s">
        <v>1351</v>
      </c>
      <c r="B901" s="16">
        <v>1</v>
      </c>
      <c r="C901" s="16" t="s">
        <v>1431</v>
      </c>
      <c r="D901" s="16">
        <v>0</v>
      </c>
      <c r="E901" s="49"/>
    </row>
    <row r="902" spans="1:5">
      <c r="A902" s="48" t="s">
        <v>1286</v>
      </c>
      <c r="B902" s="16">
        <v>1</v>
      </c>
      <c r="C902" s="16" t="s">
        <v>1416</v>
      </c>
      <c r="D902" s="16">
        <v>0</v>
      </c>
      <c r="E902" s="49"/>
    </row>
    <row r="903" spans="1:5">
      <c r="A903" s="48" t="s">
        <v>1367</v>
      </c>
      <c r="B903" s="16">
        <v>1</v>
      </c>
      <c r="C903" s="16" t="s">
        <v>1433</v>
      </c>
      <c r="D903" s="16">
        <v>0</v>
      </c>
      <c r="E903" s="49"/>
    </row>
    <row r="904" spans="1:5">
      <c r="A904" s="48" t="s">
        <v>1352</v>
      </c>
      <c r="B904" s="16">
        <v>1</v>
      </c>
      <c r="C904" s="16" t="s">
        <v>1431</v>
      </c>
      <c r="D904" s="16">
        <v>0</v>
      </c>
      <c r="E904" s="49"/>
    </row>
    <row r="905" spans="1:5">
      <c r="A905" s="48" t="s">
        <v>1262</v>
      </c>
      <c r="B905" s="16">
        <v>1</v>
      </c>
      <c r="C905" s="16" t="s">
        <v>1413</v>
      </c>
      <c r="D905" s="16">
        <v>0</v>
      </c>
      <c r="E905" s="49"/>
    </row>
    <row r="906" spans="1:5">
      <c r="A906" s="48" t="s">
        <v>1401</v>
      </c>
      <c r="B906" s="16">
        <v>1</v>
      </c>
      <c r="C906" s="102" t="s">
        <v>1440</v>
      </c>
      <c r="D906" s="16">
        <v>0</v>
      </c>
      <c r="E906" s="49"/>
    </row>
    <row r="907" spans="1:5">
      <c r="A907" s="48" t="s">
        <v>97</v>
      </c>
      <c r="B907" s="16">
        <v>1</v>
      </c>
      <c r="C907" s="16" t="s">
        <v>1413</v>
      </c>
      <c r="D907" s="16">
        <v>0</v>
      </c>
      <c r="E907" s="49"/>
    </row>
    <row r="908" spans="1:5">
      <c r="A908" s="48" t="s">
        <v>1378</v>
      </c>
      <c r="B908" s="16">
        <v>1</v>
      </c>
      <c r="C908" s="16" t="s">
        <v>1435</v>
      </c>
      <c r="D908" s="16">
        <v>0</v>
      </c>
      <c r="E908" s="49"/>
    </row>
    <row r="909" spans="1:5">
      <c r="A909" s="48" t="s">
        <v>1296</v>
      </c>
      <c r="B909" s="16">
        <v>1</v>
      </c>
      <c r="C909" s="16" t="s">
        <v>1418</v>
      </c>
      <c r="D909" s="16">
        <v>0</v>
      </c>
      <c r="E909" s="49"/>
    </row>
    <row r="910" spans="1:5">
      <c r="A910" s="48" t="s">
        <v>1403</v>
      </c>
      <c r="B910" s="16">
        <v>1</v>
      </c>
      <c r="C910" s="102" t="s">
        <v>1440</v>
      </c>
      <c r="D910" s="16">
        <v>0</v>
      </c>
      <c r="E910" s="49"/>
    </row>
    <row r="911" spans="1:5">
      <c r="A911" s="48" t="s">
        <v>1385</v>
      </c>
      <c r="B911" s="16"/>
      <c r="C911" s="16" t="s">
        <v>1439</v>
      </c>
      <c r="D911" s="16">
        <v>0</v>
      </c>
      <c r="E911" s="49"/>
    </row>
    <row r="912" spans="1:5">
      <c r="A912" s="48" t="s">
        <v>1297</v>
      </c>
      <c r="B912" s="16">
        <v>1</v>
      </c>
      <c r="C912" s="16" t="s">
        <v>1418</v>
      </c>
      <c r="D912" s="16">
        <v>0</v>
      </c>
      <c r="E912" s="49"/>
    </row>
    <row r="913" spans="1:5">
      <c r="A913" s="48" t="s">
        <v>1279</v>
      </c>
      <c r="B913" s="16">
        <v>1</v>
      </c>
      <c r="C913" s="16" t="s">
        <v>1441</v>
      </c>
      <c r="D913" s="16">
        <v>0</v>
      </c>
      <c r="E913" s="49"/>
    </row>
    <row r="914" spans="1:5">
      <c r="A914" s="48" t="s">
        <v>1335</v>
      </c>
      <c r="B914" s="16">
        <v>1</v>
      </c>
      <c r="C914" s="16" t="s">
        <v>1425</v>
      </c>
      <c r="D914" s="16">
        <v>0</v>
      </c>
      <c r="E914" s="49"/>
    </row>
    <row r="915" spans="1:5">
      <c r="A915" s="48" t="s">
        <v>1282</v>
      </c>
      <c r="B915" s="16">
        <v>1</v>
      </c>
      <c r="C915" s="16" t="s">
        <v>1415</v>
      </c>
      <c r="D915" s="16">
        <v>0</v>
      </c>
      <c r="E915" s="49"/>
    </row>
    <row r="916" spans="1:5">
      <c r="A916" s="48" t="s">
        <v>1329</v>
      </c>
      <c r="B916" s="16">
        <v>1</v>
      </c>
      <c r="C916" s="16" t="s">
        <v>1422</v>
      </c>
      <c r="D916" s="16">
        <v>0</v>
      </c>
      <c r="E916" s="49"/>
    </row>
    <row r="917" spans="1:5">
      <c r="A917" s="48" t="s">
        <v>1298</v>
      </c>
      <c r="B917" s="16">
        <v>1</v>
      </c>
      <c r="C917" s="16" t="s">
        <v>1418</v>
      </c>
      <c r="D917" s="16">
        <v>0</v>
      </c>
      <c r="E917" s="49"/>
    </row>
    <row r="918" spans="1:5">
      <c r="A918" s="48" t="s">
        <v>1386</v>
      </c>
      <c r="B918" s="16">
        <v>1</v>
      </c>
      <c r="C918" s="16" t="s">
        <v>1439</v>
      </c>
      <c r="D918" s="16">
        <v>0</v>
      </c>
      <c r="E918" s="49"/>
    </row>
    <row r="919" spans="1:5">
      <c r="A919" s="48" t="s">
        <v>1263</v>
      </c>
      <c r="B919" s="16">
        <v>1</v>
      </c>
      <c r="C919" s="16" t="s">
        <v>1413</v>
      </c>
      <c r="D919" s="16">
        <v>0</v>
      </c>
      <c r="E919" s="49"/>
    </row>
    <row r="920" spans="1:5">
      <c r="A920" s="48" t="s">
        <v>1337</v>
      </c>
      <c r="B920" s="16">
        <v>1</v>
      </c>
      <c r="C920" s="16" t="s">
        <v>1426</v>
      </c>
      <c r="D920" s="16">
        <v>0</v>
      </c>
      <c r="E920" s="49"/>
    </row>
    <row r="921" spans="1:5">
      <c r="A921" s="48" t="s">
        <v>1345</v>
      </c>
      <c r="B921" s="16">
        <v>1</v>
      </c>
      <c r="C921" s="16" t="s">
        <v>1429</v>
      </c>
      <c r="D921" s="16">
        <v>0</v>
      </c>
      <c r="E921" s="49"/>
    </row>
    <row r="922" spans="1:5">
      <c r="A922" s="48" t="s">
        <v>1359</v>
      </c>
      <c r="B922" s="16">
        <v>1</v>
      </c>
      <c r="C922" s="16" t="s">
        <v>1432</v>
      </c>
      <c r="D922" s="16">
        <v>0</v>
      </c>
      <c r="E922" s="49"/>
    </row>
    <row r="923" spans="1:5">
      <c r="A923" s="48" t="s">
        <v>1332</v>
      </c>
      <c r="B923" s="16">
        <v>1</v>
      </c>
      <c r="C923" s="16" t="s">
        <v>1424</v>
      </c>
      <c r="D923" s="16">
        <v>0</v>
      </c>
      <c r="E923" s="49"/>
    </row>
    <row r="924" spans="1:5">
      <c r="A924" s="48" t="s">
        <v>1333</v>
      </c>
      <c r="B924" s="16">
        <v>1</v>
      </c>
      <c r="C924" s="16" t="s">
        <v>1424</v>
      </c>
      <c r="D924" s="16">
        <v>0</v>
      </c>
      <c r="E924" s="49"/>
    </row>
    <row r="925" spans="1:5">
      <c r="A925" s="48" t="s">
        <v>1299</v>
      </c>
      <c r="B925" s="16">
        <v>1</v>
      </c>
      <c r="C925" s="16" t="s">
        <v>1418</v>
      </c>
      <c r="D925" s="16">
        <v>0</v>
      </c>
      <c r="E925" s="49"/>
    </row>
    <row r="926" spans="1:5">
      <c r="A926" s="48" t="s">
        <v>1265</v>
      </c>
      <c r="B926" s="16">
        <v>1</v>
      </c>
      <c r="C926" s="16" t="s">
        <v>1413</v>
      </c>
      <c r="D926" s="16">
        <v>0</v>
      </c>
      <c r="E926" s="49"/>
    </row>
    <row r="927" spans="1:5">
      <c r="A927" s="48" t="s">
        <v>1281</v>
      </c>
      <c r="B927" s="16">
        <v>1</v>
      </c>
      <c r="C927" s="16" t="s">
        <v>1414</v>
      </c>
      <c r="D927" s="16">
        <v>0</v>
      </c>
      <c r="E927" s="49"/>
    </row>
    <row r="928" spans="1:5">
      <c r="A928" s="48" t="s">
        <v>1300</v>
      </c>
      <c r="B928" s="16">
        <v>1</v>
      </c>
      <c r="C928" s="16" t="s">
        <v>1418</v>
      </c>
      <c r="D928" s="16">
        <v>0</v>
      </c>
      <c r="E928" s="49"/>
    </row>
    <row r="929" spans="1:5">
      <c r="A929" s="48" t="s">
        <v>1330</v>
      </c>
      <c r="B929" s="16">
        <v>1</v>
      </c>
      <c r="C929" s="16" t="s">
        <v>1423</v>
      </c>
      <c r="D929" s="16">
        <v>0</v>
      </c>
      <c r="E929" s="49"/>
    </row>
    <row r="930" spans="1:5">
      <c r="A930" s="48" t="s">
        <v>1346</v>
      </c>
      <c r="B930" s="16">
        <v>1</v>
      </c>
      <c r="C930" s="16" t="s">
        <v>1429</v>
      </c>
      <c r="D930" s="16">
        <v>0</v>
      </c>
      <c r="E930" s="49"/>
    </row>
    <row r="931" spans="1:5">
      <c r="A931" s="48" t="s">
        <v>1387</v>
      </c>
      <c r="B931" s="16">
        <v>1</v>
      </c>
      <c r="C931" s="16" t="s">
        <v>1439</v>
      </c>
      <c r="D931" s="16">
        <v>0</v>
      </c>
      <c r="E931" s="49"/>
    </row>
    <row r="932" spans="1:5">
      <c r="A932" s="48" t="s">
        <v>1353</v>
      </c>
      <c r="B932" s="16">
        <v>1</v>
      </c>
      <c r="C932" s="16" t="s">
        <v>1431</v>
      </c>
      <c r="D932" s="92">
        <v>0</v>
      </c>
      <c r="E932" s="49"/>
    </row>
    <row r="933" spans="1:5">
      <c r="A933" s="48" t="s">
        <v>1244</v>
      </c>
      <c r="B933" s="16">
        <v>1</v>
      </c>
      <c r="C933" s="16" t="s">
        <v>1413</v>
      </c>
      <c r="D933" s="92">
        <v>0</v>
      </c>
      <c r="E933" s="49"/>
    </row>
    <row r="934" spans="1:5">
      <c r="A934" s="48" t="s">
        <v>1301</v>
      </c>
      <c r="B934" s="16">
        <v>1</v>
      </c>
      <c r="C934" s="16" t="s">
        <v>1418</v>
      </c>
      <c r="D934" s="92">
        <v>0</v>
      </c>
      <c r="E934" s="49"/>
    </row>
    <row r="935" spans="1:5">
      <c r="A935" s="48" t="s">
        <v>1310</v>
      </c>
      <c r="B935" s="16">
        <v>1</v>
      </c>
      <c r="C935" s="16" t="s">
        <v>1419</v>
      </c>
      <c r="D935" s="92">
        <v>0</v>
      </c>
      <c r="E935" s="49"/>
    </row>
    <row r="936" spans="1:5">
      <c r="A936" s="48" t="s">
        <v>1354</v>
      </c>
      <c r="B936" s="16">
        <v>1</v>
      </c>
      <c r="C936" s="16" t="s">
        <v>1431</v>
      </c>
      <c r="D936" s="92">
        <v>0</v>
      </c>
      <c r="E936" s="49"/>
    </row>
    <row r="937" spans="1:5">
      <c r="A937" s="48" t="s">
        <v>1342</v>
      </c>
      <c r="B937" s="16">
        <v>1</v>
      </c>
      <c r="C937" s="16" t="s">
        <v>1428</v>
      </c>
      <c r="D937" s="92">
        <v>0</v>
      </c>
      <c r="E937" s="49"/>
    </row>
    <row r="938" spans="1:5">
      <c r="A938" s="48" t="s">
        <v>1347</v>
      </c>
      <c r="B938" s="16">
        <v>1</v>
      </c>
      <c r="C938" s="16" t="s">
        <v>1429</v>
      </c>
      <c r="D938" s="92">
        <v>0</v>
      </c>
      <c r="E938" s="49"/>
    </row>
    <row r="939" spans="1:5">
      <c r="A939" s="48" t="s">
        <v>1308</v>
      </c>
      <c r="B939" s="16">
        <v>1</v>
      </c>
      <c r="C939" s="16" t="s">
        <v>1419</v>
      </c>
      <c r="D939" s="92">
        <v>0</v>
      </c>
      <c r="E939" s="49"/>
    </row>
    <row r="940" spans="1:5">
      <c r="A940" s="48" t="s">
        <v>1407</v>
      </c>
      <c r="B940" s="16">
        <v>1</v>
      </c>
      <c r="C940" s="102" t="s">
        <v>1440</v>
      </c>
      <c r="D940" s="92">
        <v>0</v>
      </c>
      <c r="E940" s="49"/>
    </row>
    <row r="941" spans="1:5">
      <c r="A941" s="48" t="s">
        <v>1314</v>
      </c>
      <c r="B941" s="16">
        <v>1</v>
      </c>
      <c r="C941" s="16" t="s">
        <v>1420</v>
      </c>
      <c r="D941" s="92">
        <v>0</v>
      </c>
      <c r="E941" s="49"/>
    </row>
    <row r="942" spans="1:5">
      <c r="A942" s="48" t="s">
        <v>1331</v>
      </c>
      <c r="B942" s="16">
        <v>1</v>
      </c>
      <c r="C942" s="16" t="s">
        <v>1423</v>
      </c>
      <c r="D942" s="92">
        <v>0</v>
      </c>
      <c r="E942" s="49"/>
    </row>
    <row r="943" spans="1:5">
      <c r="A943" s="48" t="s">
        <v>1270</v>
      </c>
      <c r="B943" s="16">
        <v>1</v>
      </c>
      <c r="C943" s="16" t="s">
        <v>1413</v>
      </c>
      <c r="D943" s="92">
        <v>0</v>
      </c>
      <c r="E943" s="49"/>
    </row>
    <row r="944" spans="1:5">
      <c r="A944" s="48" t="s">
        <v>1406</v>
      </c>
      <c r="B944" s="16">
        <v>1</v>
      </c>
      <c r="C944" s="102" t="s">
        <v>1440</v>
      </c>
      <c r="D944" s="92">
        <v>0</v>
      </c>
      <c r="E944" s="49"/>
    </row>
    <row r="945" spans="1:5">
      <c r="A945" s="48" t="s">
        <v>1315</v>
      </c>
      <c r="B945" s="16">
        <v>1</v>
      </c>
      <c r="C945" s="16" t="s">
        <v>1420</v>
      </c>
      <c r="D945" s="92">
        <v>0</v>
      </c>
      <c r="E945" s="49"/>
    </row>
    <row r="946" spans="1:5">
      <c r="A946" s="48" t="s">
        <v>1316</v>
      </c>
      <c r="B946" s="16">
        <v>1</v>
      </c>
      <c r="C946" s="16" t="s">
        <v>1420</v>
      </c>
      <c r="D946" s="92">
        <v>0</v>
      </c>
      <c r="E946" s="103" t="s">
        <v>11</v>
      </c>
    </row>
    <row r="947" spans="1:5">
      <c r="A947" s="48" t="s">
        <v>1266</v>
      </c>
      <c r="B947" s="16">
        <v>1</v>
      </c>
      <c r="C947" s="16" t="s">
        <v>1413</v>
      </c>
      <c r="D947" s="92">
        <v>0</v>
      </c>
      <c r="E947" s="49"/>
    </row>
    <row r="948" spans="1:5">
      <c r="A948" s="48" t="s">
        <v>1302</v>
      </c>
      <c r="B948" s="16">
        <v>1</v>
      </c>
      <c r="C948" s="16" t="s">
        <v>1418</v>
      </c>
      <c r="D948" s="92">
        <v>0</v>
      </c>
      <c r="E948" s="49"/>
    </row>
    <row r="949" spans="1:5">
      <c r="A949" s="48" t="s">
        <v>1267</v>
      </c>
      <c r="B949" s="16">
        <v>1</v>
      </c>
      <c r="C949" s="16" t="s">
        <v>1413</v>
      </c>
      <c r="D949" s="92">
        <v>0</v>
      </c>
      <c r="E949" s="49"/>
    </row>
    <row r="950" spans="1:5">
      <c r="A950" s="48" t="s">
        <v>1311</v>
      </c>
      <c r="B950" s="16">
        <v>1</v>
      </c>
      <c r="C950" s="16" t="s">
        <v>1419</v>
      </c>
      <c r="D950" s="92">
        <v>0</v>
      </c>
      <c r="E950" s="103" t="s">
        <v>11</v>
      </c>
    </row>
    <row r="951" spans="1:5">
      <c r="A951" s="48" t="s">
        <v>1251</v>
      </c>
      <c r="B951" s="16">
        <v>1</v>
      </c>
      <c r="C951" s="16" t="s">
        <v>1411</v>
      </c>
      <c r="D951" s="92">
        <v>0</v>
      </c>
      <c r="E951" s="103" t="s">
        <v>11</v>
      </c>
    </row>
    <row r="952" spans="1:5">
      <c r="A952" s="48" t="s">
        <v>1268</v>
      </c>
      <c r="B952" s="16">
        <v>1</v>
      </c>
      <c r="C952" s="16" t="s">
        <v>1413</v>
      </c>
      <c r="D952" s="92">
        <v>0</v>
      </c>
      <c r="E952" s="49"/>
    </row>
    <row r="953" spans="1:5">
      <c r="A953" s="48" t="s">
        <v>1269</v>
      </c>
      <c r="B953" s="16">
        <v>1</v>
      </c>
      <c r="C953" s="16" t="s">
        <v>1413</v>
      </c>
      <c r="D953" s="92">
        <v>0</v>
      </c>
      <c r="E953" s="103" t="s">
        <v>11</v>
      </c>
    </row>
    <row r="954" spans="1:5">
      <c r="A954" s="48" t="s">
        <v>1338</v>
      </c>
      <c r="B954" s="16">
        <v>1</v>
      </c>
      <c r="C954" s="16" t="s">
        <v>1427</v>
      </c>
      <c r="D954" s="92">
        <v>0</v>
      </c>
      <c r="E954" s="49"/>
    </row>
    <row r="955" spans="1:5">
      <c r="A955" s="48" t="s">
        <v>1303</v>
      </c>
      <c r="B955" s="16">
        <v>1</v>
      </c>
      <c r="C955" s="16" t="s">
        <v>1418</v>
      </c>
      <c r="D955" s="92">
        <v>0</v>
      </c>
      <c r="E955" s="103" t="s">
        <v>11</v>
      </c>
    </row>
    <row r="956" spans="1:5">
      <c r="A956" s="48" t="s">
        <v>1355</v>
      </c>
      <c r="B956" s="16">
        <v>1</v>
      </c>
      <c r="C956" s="16" t="s">
        <v>1431</v>
      </c>
      <c r="D956" s="92">
        <v>0</v>
      </c>
      <c r="E956" s="49"/>
    </row>
    <row r="957" spans="1:5">
      <c r="A957" s="48" t="s">
        <v>1325</v>
      </c>
      <c r="B957" s="16">
        <v>1</v>
      </c>
      <c r="C957" s="16" t="s">
        <v>1421</v>
      </c>
      <c r="D957" s="92">
        <v>0</v>
      </c>
      <c r="E957" s="49"/>
    </row>
    <row r="958" spans="1:5">
      <c r="A958" s="48" t="s">
        <v>1388</v>
      </c>
      <c r="B958" s="16"/>
      <c r="C958" s="16" t="s">
        <v>1439</v>
      </c>
      <c r="D958" s="92">
        <v>0</v>
      </c>
      <c r="E958" s="49"/>
    </row>
    <row r="959" spans="1:5">
      <c r="A959" s="48" t="s">
        <v>1357</v>
      </c>
      <c r="B959" s="16">
        <v>1</v>
      </c>
      <c r="C959" s="16" t="s">
        <v>1431</v>
      </c>
      <c r="D959" s="92">
        <v>0</v>
      </c>
      <c r="E959" s="49"/>
    </row>
    <row r="960" spans="1:5">
      <c r="A960" s="48" t="s">
        <v>1271</v>
      </c>
      <c r="B960" s="16">
        <v>1</v>
      </c>
      <c r="C960" s="16" t="s">
        <v>1413</v>
      </c>
      <c r="D960" s="92">
        <v>0</v>
      </c>
      <c r="E960" s="103" t="s">
        <v>11</v>
      </c>
    </row>
    <row r="961" spans="1:5">
      <c r="A961" s="48" t="s">
        <v>1304</v>
      </c>
      <c r="B961" s="16">
        <v>1</v>
      </c>
      <c r="C961" s="16" t="s">
        <v>1418</v>
      </c>
      <c r="D961" s="92">
        <v>0</v>
      </c>
      <c r="E961" s="49"/>
    </row>
    <row r="962" spans="1:5">
      <c r="A962" s="48" t="s">
        <v>1344</v>
      </c>
      <c r="B962" s="16">
        <v>1</v>
      </c>
      <c r="C962" s="16" t="s">
        <v>1428</v>
      </c>
      <c r="D962" s="92">
        <v>0</v>
      </c>
      <c r="E962" s="49"/>
    </row>
    <row r="963" spans="1:5">
      <c r="A963" s="48" t="s">
        <v>1273</v>
      </c>
      <c r="B963" s="16">
        <v>1</v>
      </c>
      <c r="C963" s="16" t="s">
        <v>1413</v>
      </c>
      <c r="D963" s="92">
        <v>0</v>
      </c>
      <c r="E963" s="49"/>
    </row>
    <row r="964" spans="1:5">
      <c r="A964" s="48" t="s">
        <v>1293</v>
      </c>
      <c r="B964" s="16">
        <v>1</v>
      </c>
      <c r="C964" s="16" t="s">
        <v>1417</v>
      </c>
      <c r="D964" s="92">
        <v>0</v>
      </c>
      <c r="E964" s="49"/>
    </row>
    <row r="965" spans="1:5">
      <c r="A965" s="48" t="s">
        <v>1317</v>
      </c>
      <c r="B965" s="16" t="s">
        <v>11</v>
      </c>
      <c r="C965" s="16" t="s">
        <v>1420</v>
      </c>
      <c r="D965" s="92">
        <v>0</v>
      </c>
      <c r="E965" s="49"/>
    </row>
    <row r="966" spans="1:5">
      <c r="A966" s="48" t="s">
        <v>1356</v>
      </c>
      <c r="B966" s="16">
        <v>1</v>
      </c>
      <c r="C966" s="16" t="s">
        <v>1431</v>
      </c>
      <c r="D966" s="92">
        <v>0</v>
      </c>
      <c r="E966" s="49"/>
    </row>
    <row r="967" spans="1:5">
      <c r="A967" s="48" t="s">
        <v>1382</v>
      </c>
      <c r="B967" s="16">
        <v>1</v>
      </c>
      <c r="C967" s="16" t="s">
        <v>1438</v>
      </c>
      <c r="D967" s="92">
        <v>0</v>
      </c>
      <c r="E967" s="49"/>
    </row>
    <row r="968" spans="1:5">
      <c r="A968" s="48" t="s">
        <v>1294</v>
      </c>
      <c r="B968" s="16">
        <v>1</v>
      </c>
      <c r="C968" s="16" t="s">
        <v>1417</v>
      </c>
      <c r="D968" s="92">
        <v>0</v>
      </c>
      <c r="E968" s="49"/>
    </row>
    <row r="969" spans="1:5">
      <c r="A969" s="48" t="s">
        <v>1341</v>
      </c>
      <c r="B969" s="16">
        <v>1</v>
      </c>
      <c r="C969" s="16" t="s">
        <v>1427</v>
      </c>
      <c r="D969" s="92">
        <v>0</v>
      </c>
      <c r="E969" s="49"/>
    </row>
    <row r="970" spans="1:5">
      <c r="A970" s="48" t="s">
        <v>1389</v>
      </c>
      <c r="B970" s="16">
        <v>1</v>
      </c>
      <c r="C970" s="16" t="s">
        <v>1439</v>
      </c>
      <c r="D970" s="92">
        <v>0</v>
      </c>
      <c r="E970" s="49"/>
    </row>
    <row r="971" spans="1:5">
      <c r="A971" s="48" t="s">
        <v>1280</v>
      </c>
      <c r="B971" s="16">
        <v>1</v>
      </c>
      <c r="C971" s="16" t="s">
        <v>1441</v>
      </c>
      <c r="D971" s="92">
        <v>0</v>
      </c>
      <c r="E971" s="49"/>
    </row>
    <row r="972" spans="1:5">
      <c r="A972" s="48" t="s">
        <v>1380</v>
      </c>
      <c r="B972" s="16">
        <v>1</v>
      </c>
      <c r="C972" s="16" t="s">
        <v>1437</v>
      </c>
      <c r="D972" s="92">
        <v>0</v>
      </c>
      <c r="E972" s="49"/>
    </row>
    <row r="973" spans="1:5">
      <c r="A973" s="48" t="s">
        <v>1305</v>
      </c>
      <c r="B973" s="16">
        <v>1</v>
      </c>
      <c r="C973" s="16" t="s">
        <v>1418</v>
      </c>
      <c r="D973" s="92">
        <v>0</v>
      </c>
      <c r="E973" s="49"/>
    </row>
    <row r="974" spans="1:5">
      <c r="A974" s="48" t="s">
        <v>1364</v>
      </c>
      <c r="B974" s="16">
        <v>1</v>
      </c>
      <c r="C974" s="16" t="s">
        <v>1443</v>
      </c>
      <c r="D974" s="92">
        <v>0</v>
      </c>
      <c r="E974" s="49"/>
    </row>
    <row r="975" spans="1:5">
      <c r="A975" s="48" t="s">
        <v>1274</v>
      </c>
      <c r="B975" s="16">
        <v>1</v>
      </c>
      <c r="C975" s="16" t="s">
        <v>1413</v>
      </c>
      <c r="D975" s="92">
        <v>0</v>
      </c>
      <c r="E975" s="49"/>
    </row>
    <row r="976" spans="1:5">
      <c r="A976" s="48" t="s">
        <v>1361</v>
      </c>
      <c r="B976" s="16" t="s">
        <v>11</v>
      </c>
      <c r="C976" s="16" t="s">
        <v>1432</v>
      </c>
      <c r="D976" s="92">
        <v>0</v>
      </c>
      <c r="E976" s="49"/>
    </row>
    <row r="977" spans="1:5">
      <c r="A977" s="48" t="s">
        <v>1339</v>
      </c>
      <c r="B977" s="16">
        <v>1</v>
      </c>
      <c r="C977" s="16" t="s">
        <v>1427</v>
      </c>
      <c r="D977" s="92">
        <v>0</v>
      </c>
      <c r="E977" s="49"/>
    </row>
    <row r="978" spans="1:5">
      <c r="A978" s="48" t="s">
        <v>1275</v>
      </c>
      <c r="B978" s="16">
        <v>1</v>
      </c>
      <c r="C978" s="16" t="s">
        <v>1413</v>
      </c>
      <c r="D978" s="92">
        <v>0</v>
      </c>
      <c r="E978" s="49"/>
    </row>
    <row r="979" spans="1:5">
      <c r="A979" s="48" t="s">
        <v>1249</v>
      </c>
      <c r="B979" s="16">
        <v>1</v>
      </c>
      <c r="C979" s="16" t="s">
        <v>1410</v>
      </c>
      <c r="D979" s="92">
        <v>0</v>
      </c>
      <c r="E979" s="49"/>
    </row>
    <row r="980" spans="1:5">
      <c r="A980" s="48" t="s">
        <v>1276</v>
      </c>
      <c r="B980" s="16">
        <v>1</v>
      </c>
      <c r="C980" s="16" t="s">
        <v>1413</v>
      </c>
      <c r="D980" s="92">
        <v>0</v>
      </c>
      <c r="E980" s="49"/>
    </row>
    <row r="981" spans="1:5">
      <c r="A981" s="48" t="s">
        <v>1377</v>
      </c>
      <c r="B981" s="16">
        <v>1</v>
      </c>
      <c r="C981" s="16" t="s">
        <v>1435</v>
      </c>
      <c r="D981" s="92">
        <v>0</v>
      </c>
      <c r="E981" s="49"/>
    </row>
    <row r="982" spans="1:5">
      <c r="A982" s="48" t="s">
        <v>1288</v>
      </c>
      <c r="B982" s="16">
        <v>1</v>
      </c>
      <c r="C982" s="16" t="s">
        <v>1416</v>
      </c>
      <c r="D982" s="92">
        <v>0</v>
      </c>
      <c r="E982" s="49"/>
    </row>
    <row r="983" spans="1:5">
      <c r="A983" s="48" t="s">
        <v>1391</v>
      </c>
      <c r="B983" s="16">
        <v>1</v>
      </c>
      <c r="C983" s="16" t="s">
        <v>1439</v>
      </c>
      <c r="D983" s="92">
        <v>0</v>
      </c>
      <c r="E983" s="49"/>
    </row>
    <row r="984" spans="1:5">
      <c r="A984" s="48" t="s">
        <v>128</v>
      </c>
      <c r="B984" s="16">
        <v>1</v>
      </c>
      <c r="C984" s="16" t="s">
        <v>1413</v>
      </c>
      <c r="D984" s="92">
        <v>0</v>
      </c>
      <c r="E984" s="103" t="s">
        <v>11</v>
      </c>
    </row>
    <row r="985" spans="1:5">
      <c r="A985" s="48" t="s">
        <v>1306</v>
      </c>
      <c r="B985" s="16">
        <v>1</v>
      </c>
      <c r="C985" s="16" t="s">
        <v>1418</v>
      </c>
      <c r="D985" s="92">
        <v>0</v>
      </c>
      <c r="E985" s="49"/>
    </row>
    <row r="986" spans="1:5">
      <c r="A986" s="48" t="s">
        <v>1358</v>
      </c>
      <c r="B986" s="16">
        <v>1</v>
      </c>
      <c r="C986" s="16" t="s">
        <v>1431</v>
      </c>
      <c r="D986" s="92">
        <v>0</v>
      </c>
      <c r="E986" s="49"/>
    </row>
    <row r="987" spans="1:5">
      <c r="A987" s="48" t="s">
        <v>1307</v>
      </c>
      <c r="B987" s="16">
        <v>1</v>
      </c>
      <c r="C987" s="16" t="s">
        <v>1418</v>
      </c>
      <c r="D987" s="92">
        <v>0</v>
      </c>
      <c r="E987" s="103" t="s">
        <v>11</v>
      </c>
    </row>
    <row r="988" spans="1:5">
      <c r="A988" s="48"/>
      <c r="B988" s="16">
        <v>1</v>
      </c>
      <c r="C988" s="16" t="s">
        <v>1424</v>
      </c>
      <c r="D988" s="92">
        <v>0</v>
      </c>
      <c r="E988" s="49"/>
    </row>
    <row r="989" spans="1:5">
      <c r="A989" s="48" t="s">
        <v>1277</v>
      </c>
      <c r="B989" s="16">
        <v>1</v>
      </c>
      <c r="C989" s="16" t="s">
        <v>1413</v>
      </c>
      <c r="D989" s="92">
        <v>0</v>
      </c>
      <c r="E989" s="49"/>
    </row>
    <row r="990" spans="1:5">
      <c r="A990" s="48" t="b">
        <v>1</v>
      </c>
      <c r="B990" s="16">
        <v>1</v>
      </c>
      <c r="C990" s="16" t="s">
        <v>1435</v>
      </c>
      <c r="D990" s="92">
        <v>0</v>
      </c>
      <c r="E990" s="49"/>
    </row>
    <row r="991" spans="1:5">
      <c r="A991" s="48" t="s">
        <v>1254</v>
      </c>
      <c r="B991" s="16">
        <v>1</v>
      </c>
      <c r="C991" s="16" t="s">
        <v>1413</v>
      </c>
      <c r="D991" s="16">
        <v>1</v>
      </c>
      <c r="E991" s="49"/>
    </row>
    <row r="992" spans="1:5">
      <c r="A992" s="48" t="s">
        <v>1392</v>
      </c>
      <c r="B992" s="16">
        <v>1</v>
      </c>
      <c r="C992" s="102" t="s">
        <v>1440</v>
      </c>
      <c r="D992" s="16">
        <v>1</v>
      </c>
      <c r="E992" s="49"/>
    </row>
    <row r="993" spans="1:5">
      <c r="A993" s="48" t="s">
        <v>90</v>
      </c>
      <c r="B993" s="16">
        <v>1</v>
      </c>
      <c r="C993" s="102" t="s">
        <v>1440</v>
      </c>
      <c r="D993" s="16">
        <v>1</v>
      </c>
      <c r="E993" s="103" t="s">
        <v>11</v>
      </c>
    </row>
    <row r="994" spans="1:5">
      <c r="A994" s="48" t="s">
        <v>1252</v>
      </c>
      <c r="B994" s="16">
        <v>1</v>
      </c>
      <c r="C994" s="16" t="s">
        <v>1412</v>
      </c>
      <c r="D994" s="16">
        <v>1</v>
      </c>
      <c r="E994" s="49"/>
    </row>
    <row r="995" spans="1:5">
      <c r="A995" s="48" t="s">
        <v>1318</v>
      </c>
      <c r="B995" s="16">
        <v>1</v>
      </c>
      <c r="C995" s="16" t="s">
        <v>1421</v>
      </c>
      <c r="D995" s="16">
        <v>1</v>
      </c>
      <c r="E995" s="49"/>
    </row>
    <row r="996" spans="1:5">
      <c r="A996" s="48" t="s">
        <v>1399</v>
      </c>
      <c r="B996" s="16">
        <v>1</v>
      </c>
      <c r="C996" s="102" t="s">
        <v>1440</v>
      </c>
      <c r="D996" s="16">
        <v>1</v>
      </c>
      <c r="E996" s="49"/>
    </row>
    <row r="997" spans="1:5">
      <c r="A997" s="48" t="s">
        <v>1400</v>
      </c>
      <c r="B997" s="16">
        <v>1</v>
      </c>
      <c r="C997" s="102" t="s">
        <v>1440</v>
      </c>
      <c r="D997" s="16">
        <v>1</v>
      </c>
      <c r="E997" s="49"/>
    </row>
    <row r="998" spans="1:5">
      <c r="A998" s="48" t="s">
        <v>1290</v>
      </c>
      <c r="B998" s="16">
        <v>1</v>
      </c>
      <c r="C998" s="16" t="s">
        <v>1417</v>
      </c>
      <c r="D998" s="16">
        <v>1</v>
      </c>
      <c r="E998" s="49"/>
    </row>
    <row r="999" spans="1:5">
      <c r="A999" s="48" t="s">
        <v>1261</v>
      </c>
      <c r="B999" s="16">
        <v>1</v>
      </c>
      <c r="C999" s="16" t="s">
        <v>1413</v>
      </c>
      <c r="D999" s="16">
        <v>1</v>
      </c>
      <c r="E999" s="49"/>
    </row>
    <row r="1000" spans="1:5">
      <c r="A1000" s="48" t="s">
        <v>116</v>
      </c>
      <c r="B1000" s="16">
        <v>1</v>
      </c>
      <c r="C1000" s="16" t="s">
        <v>1434</v>
      </c>
      <c r="D1000" s="16">
        <v>1</v>
      </c>
      <c r="E1000" s="103" t="s">
        <v>11</v>
      </c>
    </row>
    <row r="1001" spans="1:5">
      <c r="A1001" s="48" t="s">
        <v>1402</v>
      </c>
      <c r="B1001" s="16">
        <v>1</v>
      </c>
      <c r="C1001" s="102" t="s">
        <v>1440</v>
      </c>
      <c r="D1001" s="16">
        <v>1</v>
      </c>
      <c r="E1001" s="49"/>
    </row>
    <row r="1002" spans="1:5">
      <c r="A1002" s="48" t="s">
        <v>1319</v>
      </c>
      <c r="B1002" s="16">
        <v>1</v>
      </c>
      <c r="C1002" s="16" t="s">
        <v>1421</v>
      </c>
      <c r="D1002" s="16">
        <v>1</v>
      </c>
      <c r="E1002" s="49"/>
    </row>
    <row r="1003" spans="1:5">
      <c r="A1003" s="48" t="s">
        <v>1264</v>
      </c>
      <c r="B1003" s="16">
        <v>1</v>
      </c>
      <c r="C1003" s="16" t="s">
        <v>1413</v>
      </c>
      <c r="D1003" s="16">
        <v>1</v>
      </c>
      <c r="E1003" s="49"/>
    </row>
    <row r="1004" spans="1:5">
      <c r="A1004" s="48" t="s">
        <v>1242</v>
      </c>
      <c r="B1004" s="16">
        <v>1</v>
      </c>
      <c r="C1004" s="16" t="s">
        <v>1432</v>
      </c>
      <c r="D1004" s="16">
        <v>1</v>
      </c>
      <c r="E1004" s="49"/>
    </row>
    <row r="1005" spans="1:5">
      <c r="A1005" s="48" t="s">
        <v>1291</v>
      </c>
      <c r="B1005" s="16">
        <v>1</v>
      </c>
      <c r="C1005" s="16" t="s">
        <v>1417</v>
      </c>
      <c r="D1005" s="92">
        <v>1</v>
      </c>
      <c r="E1005" s="49"/>
    </row>
    <row r="1006" spans="1:5">
      <c r="A1006" s="48" t="s">
        <v>1404</v>
      </c>
      <c r="B1006" s="16">
        <v>1</v>
      </c>
      <c r="C1006" s="102" t="s">
        <v>1440</v>
      </c>
      <c r="D1006" s="92">
        <v>1</v>
      </c>
      <c r="E1006" s="49"/>
    </row>
    <row r="1007" spans="1:5">
      <c r="A1007" s="48" t="s">
        <v>1283</v>
      </c>
      <c r="B1007" s="16">
        <v>1</v>
      </c>
      <c r="C1007" s="16" t="s">
        <v>1415</v>
      </c>
      <c r="D1007" s="92">
        <v>1</v>
      </c>
      <c r="E1007" s="49"/>
    </row>
    <row r="1008" spans="1:5">
      <c r="A1008" s="48" t="s">
        <v>1320</v>
      </c>
      <c r="B1008" s="16" t="s">
        <v>11</v>
      </c>
      <c r="C1008" s="16" t="s">
        <v>1421</v>
      </c>
      <c r="D1008" s="92">
        <v>1</v>
      </c>
      <c r="E1008" s="49"/>
    </row>
    <row r="1009" spans="1:5">
      <c r="A1009" s="48" t="s">
        <v>1287</v>
      </c>
      <c r="B1009" s="16">
        <v>1</v>
      </c>
      <c r="C1009" s="16" t="s">
        <v>1416</v>
      </c>
      <c r="D1009" s="92">
        <v>1</v>
      </c>
      <c r="E1009" s="49"/>
    </row>
    <row r="1010" spans="1:5">
      <c r="A1010" s="48" t="s">
        <v>1405</v>
      </c>
      <c r="B1010" s="16">
        <v>1</v>
      </c>
      <c r="C1010" s="102" t="s">
        <v>1440</v>
      </c>
      <c r="D1010" s="92">
        <v>1</v>
      </c>
      <c r="E1010" s="49"/>
    </row>
    <row r="1011" spans="1:5">
      <c r="A1011" s="48" t="s">
        <v>1321</v>
      </c>
      <c r="B1011" s="16">
        <v>1</v>
      </c>
      <c r="C1011" s="16" t="s">
        <v>1421</v>
      </c>
      <c r="D1011" s="92">
        <v>1</v>
      </c>
      <c r="E1011" s="49"/>
    </row>
    <row r="1012" spans="1:5">
      <c r="A1012" s="48" t="s">
        <v>1322</v>
      </c>
      <c r="B1012" s="16">
        <v>1</v>
      </c>
      <c r="C1012" s="16" t="s">
        <v>1421</v>
      </c>
      <c r="D1012" s="92">
        <v>1</v>
      </c>
      <c r="E1012" s="49"/>
    </row>
    <row r="1013" spans="1:5">
      <c r="A1013" s="48" t="s">
        <v>1323</v>
      </c>
      <c r="B1013" s="16">
        <v>1</v>
      </c>
      <c r="C1013" s="16" t="s">
        <v>1421</v>
      </c>
      <c r="D1013" s="92">
        <v>1</v>
      </c>
      <c r="E1013" s="49"/>
    </row>
    <row r="1014" spans="1:5">
      <c r="A1014" s="48" t="s">
        <v>1360</v>
      </c>
      <c r="B1014" s="16">
        <v>1</v>
      </c>
      <c r="C1014" s="16" t="s">
        <v>1432</v>
      </c>
      <c r="D1014" s="92">
        <v>1</v>
      </c>
      <c r="E1014" s="49"/>
    </row>
    <row r="1015" spans="1:5">
      <c r="A1015" s="48" t="s">
        <v>1336</v>
      </c>
      <c r="B1015" s="16">
        <v>1</v>
      </c>
      <c r="C1015" s="16" t="s">
        <v>1425</v>
      </c>
      <c r="D1015" s="92">
        <v>1</v>
      </c>
      <c r="E1015" s="49"/>
    </row>
    <row r="1016" spans="1:5">
      <c r="A1016" s="48" t="s">
        <v>89</v>
      </c>
      <c r="B1016" s="16">
        <v>1</v>
      </c>
      <c r="C1016" s="16" t="s">
        <v>1432</v>
      </c>
      <c r="D1016" s="92">
        <v>1</v>
      </c>
      <c r="E1016" s="49"/>
    </row>
    <row r="1017" spans="1:5">
      <c r="A1017" s="48" t="s">
        <v>1324</v>
      </c>
      <c r="B1017" s="16"/>
      <c r="C1017" s="16" t="s">
        <v>1421</v>
      </c>
      <c r="D1017" s="92">
        <v>0</v>
      </c>
      <c r="E1017" s="49"/>
    </row>
    <row r="1018" spans="1:5">
      <c r="A1018" s="48" t="s">
        <v>694</v>
      </c>
      <c r="B1018" s="16">
        <v>1</v>
      </c>
      <c r="C1018" s="16" t="s">
        <v>1421</v>
      </c>
      <c r="D1018" s="92">
        <v>1</v>
      </c>
      <c r="E1018" s="49"/>
    </row>
    <row r="1019" spans="1:5">
      <c r="A1019" s="48" t="s">
        <v>1292</v>
      </c>
      <c r="B1019" s="16"/>
      <c r="C1019" s="16" t="s">
        <v>1417</v>
      </c>
      <c r="D1019" s="92">
        <v>0</v>
      </c>
      <c r="E1019" s="49"/>
    </row>
    <row r="1020" spans="1:5">
      <c r="A1020" s="48" t="s">
        <v>1326</v>
      </c>
      <c r="B1020" s="16">
        <v>1</v>
      </c>
      <c r="C1020" s="16" t="s">
        <v>1421</v>
      </c>
      <c r="D1020" s="92">
        <v>1</v>
      </c>
      <c r="E1020" s="49"/>
    </row>
    <row r="1021" spans="1:5">
      <c r="A1021" s="48" t="s">
        <v>1272</v>
      </c>
      <c r="B1021" s="16">
        <v>1</v>
      </c>
      <c r="C1021" s="16" t="s">
        <v>1413</v>
      </c>
      <c r="D1021" s="92">
        <v>1</v>
      </c>
      <c r="E1021" s="49"/>
    </row>
    <row r="1022" spans="1:5">
      <c r="A1022" s="48" t="s">
        <v>1327</v>
      </c>
      <c r="B1022" s="16"/>
      <c r="C1022" s="16" t="s">
        <v>1421</v>
      </c>
      <c r="D1022" s="92">
        <v>1</v>
      </c>
      <c r="E1022" s="49"/>
    </row>
    <row r="1023" spans="1:5">
      <c r="A1023" s="48" t="s">
        <v>1390</v>
      </c>
      <c r="B1023" s="16">
        <v>1</v>
      </c>
      <c r="C1023" s="16" t="s">
        <v>1439</v>
      </c>
      <c r="D1023" s="92">
        <v>0</v>
      </c>
      <c r="E1023" s="103" t="s">
        <v>11</v>
      </c>
    </row>
    <row r="1024" spans="1:5">
      <c r="A1024" s="48" t="s">
        <v>93</v>
      </c>
      <c r="B1024" s="16">
        <v>1</v>
      </c>
      <c r="C1024" s="16" t="s">
        <v>1413</v>
      </c>
      <c r="D1024" s="92">
        <v>1</v>
      </c>
      <c r="E1024" s="103" t="s">
        <v>11</v>
      </c>
    </row>
    <row r="1025" spans="1:5" ht="16" thickBot="1">
      <c r="A1025" s="52" t="s">
        <v>1278</v>
      </c>
      <c r="B1025" s="9">
        <v>1</v>
      </c>
      <c r="C1025" s="9" t="s">
        <v>1413</v>
      </c>
      <c r="D1025" s="104">
        <v>1</v>
      </c>
      <c r="E1025" s="53"/>
    </row>
    <row r="1026" spans="1:5" ht="16" thickTop="1">
      <c r="A1026" s="16"/>
      <c r="D1026" t="s">
        <v>11</v>
      </c>
    </row>
    <row r="1027" spans="1:5">
      <c r="A1027" s="92" t="s">
        <v>2961</v>
      </c>
    </row>
    <row r="1028" spans="1:5">
      <c r="A1028" s="92" t="s">
        <v>2966</v>
      </c>
    </row>
    <row r="1029" spans="1:5">
      <c r="A1029" s="92" t="s">
        <v>2967</v>
      </c>
      <c r="B1029" s="8">
        <f>245160000/26</f>
        <v>9429230.7692307699</v>
      </c>
    </row>
    <row r="1030" spans="1:5">
      <c r="A1030" s="92" t="s">
        <v>2968</v>
      </c>
    </row>
    <row r="1031" spans="1:5">
      <c r="A1031" s="92" t="s">
        <v>2969</v>
      </c>
    </row>
    <row r="1032" spans="1:5">
      <c r="A1032" s="92" t="s">
        <v>2970</v>
      </c>
    </row>
    <row r="1033" spans="1:5">
      <c r="A1033" s="92"/>
    </row>
    <row r="1034" spans="1:5" ht="16" thickBot="1"/>
    <row r="1035" spans="1:5" ht="16" thickTop="1">
      <c r="A1035" s="91"/>
      <c r="B1035" s="46"/>
      <c r="C1035" s="46"/>
      <c r="D1035" s="47"/>
    </row>
    <row r="1036" spans="1:5">
      <c r="A1036" s="48"/>
      <c r="B1036" s="16"/>
      <c r="C1036" s="16"/>
      <c r="D1036" s="49"/>
    </row>
    <row r="1037" spans="1:5">
      <c r="A1037" s="48" t="s">
        <v>11</v>
      </c>
      <c r="B1037" s="16"/>
      <c r="C1037" s="16"/>
      <c r="D1037" s="49"/>
    </row>
    <row r="1038" spans="1:5">
      <c r="A1038" s="96" t="s">
        <v>1239</v>
      </c>
      <c r="B1038" s="18" t="s">
        <v>11</v>
      </c>
      <c r="C1038" s="16"/>
      <c r="D1038" s="49"/>
    </row>
    <row r="1039" spans="1:5">
      <c r="A1039" s="48" t="s">
        <v>96</v>
      </c>
      <c r="B1039" s="20" t="s">
        <v>1246</v>
      </c>
      <c r="C1039" s="16" t="s">
        <v>2962</v>
      </c>
      <c r="D1039" s="49" t="s">
        <v>2965</v>
      </c>
    </row>
    <row r="1040" spans="1:5">
      <c r="A1040" s="48" t="s">
        <v>89</v>
      </c>
      <c r="B1040" s="20">
        <v>322.89999999999998</v>
      </c>
      <c r="C1040" s="16" t="s">
        <v>2963</v>
      </c>
      <c r="D1040" s="129">
        <f>B1040/(B1053-B1052)</f>
        <v>0.29640168900312086</v>
      </c>
    </row>
    <row r="1041" spans="1:4">
      <c r="A1041" s="48" t="s">
        <v>90</v>
      </c>
      <c r="B1041" s="20">
        <v>231.5</v>
      </c>
      <c r="C1041" s="16" t="s">
        <v>2963</v>
      </c>
      <c r="D1041" s="129">
        <f>B1041/(B1053-B1052)</f>
        <v>0.21250229484119693</v>
      </c>
    </row>
    <row r="1042" spans="1:4">
      <c r="A1042" s="48" t="s">
        <v>97</v>
      </c>
      <c r="B1042" s="20">
        <v>104.8</v>
      </c>
      <c r="C1042" s="92" t="s">
        <v>2952</v>
      </c>
      <c r="D1042" s="49"/>
    </row>
    <row r="1043" spans="1:4">
      <c r="A1043" s="48" t="s">
        <v>1240</v>
      </c>
      <c r="B1043" s="20">
        <v>50</v>
      </c>
      <c r="C1043" s="92" t="s">
        <v>2964</v>
      </c>
      <c r="D1043" s="49"/>
    </row>
    <row r="1044" spans="1:4">
      <c r="A1044" s="48" t="s">
        <v>128</v>
      </c>
      <c r="B1044" s="20">
        <v>70.7</v>
      </c>
      <c r="C1044" s="92" t="s">
        <v>2952</v>
      </c>
      <c r="D1044" s="49"/>
    </row>
    <row r="1045" spans="1:4">
      <c r="A1045" s="48" t="s">
        <v>1241</v>
      </c>
      <c r="B1045" s="20">
        <v>40.5</v>
      </c>
      <c r="C1045" s="92" t="s">
        <v>2952</v>
      </c>
      <c r="D1045" s="49"/>
    </row>
    <row r="1046" spans="1:4">
      <c r="A1046" s="48" t="s">
        <v>1242</v>
      </c>
      <c r="B1046" s="20">
        <v>59.7</v>
      </c>
      <c r="C1046" s="92" t="s">
        <v>2953</v>
      </c>
      <c r="D1046" s="129">
        <f>B1046/(B1053-B1052)</f>
        <v>5.4800807784101326E-2</v>
      </c>
    </row>
    <row r="1047" spans="1:4">
      <c r="A1047" s="48" t="s">
        <v>93</v>
      </c>
      <c r="B1047" s="20">
        <v>56.2</v>
      </c>
      <c r="C1047" s="92" t="s">
        <v>2953</v>
      </c>
      <c r="D1047" s="129">
        <f>B1047/(B1053-B1052)</f>
        <v>5.1588030108316495E-2</v>
      </c>
    </row>
    <row r="1048" spans="1:4">
      <c r="A1048" s="48" t="s">
        <v>109</v>
      </c>
      <c r="B1048" s="20">
        <v>74</v>
      </c>
      <c r="C1048" s="92" t="s">
        <v>2953</v>
      </c>
      <c r="D1048" s="129">
        <f>B1048/(B1053-B1052)</f>
        <v>6.7927299430879357E-2</v>
      </c>
    </row>
    <row r="1049" spans="1:4">
      <c r="A1049" s="48" t="s">
        <v>1243</v>
      </c>
      <c r="B1049" s="20">
        <v>44.5</v>
      </c>
      <c r="C1049" s="92" t="s">
        <v>2953</v>
      </c>
      <c r="D1049" s="129">
        <f>B1049/(B1053-B1052)</f>
        <v>4.0848173306407186E-2</v>
      </c>
    </row>
    <row r="1050" spans="1:4">
      <c r="A1050" s="48" t="s">
        <v>1244</v>
      </c>
      <c r="B1050" s="20">
        <v>20.2</v>
      </c>
      <c r="C1050" s="92" t="s">
        <v>2952</v>
      </c>
      <c r="D1050" s="49"/>
    </row>
    <row r="1051" spans="1:4">
      <c r="A1051" s="48" t="s">
        <v>125</v>
      </c>
      <c r="B1051" s="20">
        <v>14.4</v>
      </c>
      <c r="C1051" s="92" t="s">
        <v>2952</v>
      </c>
      <c r="D1051" s="49"/>
    </row>
    <row r="1052" spans="1:4">
      <c r="A1052" s="48" t="s">
        <v>1247</v>
      </c>
      <c r="B1052" s="20">
        <v>340.5</v>
      </c>
      <c r="C1052" s="16"/>
      <c r="D1052" s="49"/>
    </row>
    <row r="1053" spans="1:4">
      <c r="A1053" s="48" t="s">
        <v>94</v>
      </c>
      <c r="B1053" s="20">
        <f>SUM(B1040:B1052)</f>
        <v>1429.9000000000003</v>
      </c>
      <c r="C1053" s="16"/>
      <c r="D1053" s="129">
        <f>SUM(D1040:D1051)</f>
        <v>0.72406829447402221</v>
      </c>
    </row>
    <row r="1054" spans="1:4">
      <c r="A1054" s="48" t="s">
        <v>11</v>
      </c>
      <c r="B1054" s="83" t="s">
        <v>11</v>
      </c>
      <c r="C1054" s="16"/>
      <c r="D1054" s="49"/>
    </row>
    <row r="1055" spans="1:4">
      <c r="A1055" s="97"/>
      <c r="B1055" s="22" t="s">
        <v>1248</v>
      </c>
      <c r="C1055" s="16"/>
      <c r="D1055" s="49"/>
    </row>
    <row r="1056" spans="1:4">
      <c r="A1056" s="98" t="s">
        <v>11</v>
      </c>
      <c r="B1056" s="16"/>
      <c r="C1056" s="16"/>
      <c r="D1056" s="49"/>
    </row>
    <row r="1062" spans="1:4" ht="16" thickBot="1"/>
    <row r="1063" spans="1:4" ht="16" thickTop="1">
      <c r="A1063" s="91" t="s">
        <v>1459</v>
      </c>
      <c r="B1063" s="46"/>
      <c r="C1063" s="46"/>
      <c r="D1063" s="47">
        <f>SUM(D856:D1025)</f>
        <v>32</v>
      </c>
    </row>
    <row r="1064" spans="1:4">
      <c r="A1064" s="48" t="s">
        <v>2973</v>
      </c>
      <c r="B1064" s="16"/>
      <c r="C1064" s="16"/>
      <c r="D1064" s="94">
        <v>3750000</v>
      </c>
    </row>
    <row r="1065" spans="1:4">
      <c r="A1065" s="48"/>
      <c r="B1065" s="16"/>
      <c r="C1065" s="16"/>
      <c r="D1065" s="49"/>
    </row>
    <row r="1066" spans="1:4">
      <c r="A1066" s="48" t="s">
        <v>2974</v>
      </c>
      <c r="B1066" s="16"/>
      <c r="C1066" s="16"/>
      <c r="D1066" s="94">
        <f>D1063*D1064</f>
        <v>120000000</v>
      </c>
    </row>
    <row r="1067" spans="1:4">
      <c r="A1067" s="48" t="s">
        <v>11</v>
      </c>
      <c r="B1067" s="16"/>
      <c r="C1067" s="16"/>
      <c r="D1067" s="94" t="s">
        <v>11</v>
      </c>
    </row>
    <row r="1068" spans="1:4" ht="16" thickBot="1">
      <c r="A1068" s="52" t="s">
        <v>11</v>
      </c>
      <c r="B1068" s="9"/>
      <c r="C1068" s="9"/>
      <c r="D1068" s="95" t="s">
        <v>11</v>
      </c>
    </row>
    <row r="1069" spans="1:4" ht="16" thickTop="1"/>
  </sheetData>
  <sortState ref="A851:D1020">
    <sortCondition ref="D129:D298"/>
  </sortState>
  <mergeCells count="5">
    <mergeCell ref="A39:A43"/>
    <mergeCell ref="A34:A38"/>
    <mergeCell ref="A22:A25"/>
    <mergeCell ref="A28:A32"/>
    <mergeCell ref="A10:A18"/>
  </mergeCells>
  <phoneticPr fontId="15" type="noConversion"/>
  <pageMargins left="0.7" right="0.7" top="0.75" bottom="0.75" header="0.3" footer="0.3"/>
  <pageSetup orientation="portrait"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1764"/>
  <sheetViews>
    <sheetView showGridLines="0" view="pageLayout" workbookViewId="0">
      <selection activeCell="A8" sqref="A8"/>
    </sheetView>
  </sheetViews>
  <sheetFormatPr baseColWidth="10" defaultRowHeight="15" x14ac:dyDescent="0"/>
  <cols>
    <col min="1" max="1" width="110" customWidth="1"/>
    <col min="2" max="2" width="14.5" customWidth="1"/>
    <col min="3" max="3" width="16.6640625" customWidth="1"/>
    <col min="4" max="4" width="26.33203125" customWidth="1"/>
    <col min="5" max="5" width="16" customWidth="1"/>
    <col min="6" max="6" width="25.1640625" customWidth="1"/>
  </cols>
  <sheetData>
    <row r="2" spans="1:1">
      <c r="A2" s="246" t="s">
        <v>3053</v>
      </c>
    </row>
    <row r="3" spans="1:1" ht="18">
      <c r="A3" s="303" t="str">
        <f>CONCATENATE(VLOOKUP($A$2,'Table of Contents'!$B:$E,4,FALSE)," ",$A$2)</f>
        <v>4.4 MPEGLA AVC H.264</v>
      </c>
    </row>
    <row r="4" spans="1:1">
      <c r="A4" t="str">
        <f>VLOOKUP($A$2,'Table of Contents'!$B:$E,3,FALSE)</f>
        <v>Pool</v>
      </c>
    </row>
    <row r="5" spans="1:1">
      <c r="A5" s="148" t="str">
        <f>VLOOKUP($A$2,'Table of Contents'!$B:$E,2,FALSE)</f>
        <v>Documented</v>
      </c>
    </row>
    <row r="7" spans="1:1">
      <c r="A7" t="s">
        <v>1460</v>
      </c>
    </row>
    <row r="8" spans="1:1">
      <c r="A8" t="s">
        <v>200</v>
      </c>
    </row>
    <row r="9" spans="1:1" ht="16" thickBot="1"/>
    <row r="10" spans="1:1" ht="16" thickTop="1">
      <c r="A10" s="411" t="s">
        <v>2091</v>
      </c>
    </row>
    <row r="11" spans="1:1">
      <c r="A11" s="409"/>
    </row>
    <row r="12" spans="1:1">
      <c r="A12" s="409"/>
    </row>
    <row r="13" spans="1:1">
      <c r="A13" s="409"/>
    </row>
    <row r="14" spans="1:1">
      <c r="A14" s="409"/>
    </row>
    <row r="15" spans="1:1">
      <c r="A15" s="409"/>
    </row>
    <row r="16" spans="1:1">
      <c r="A16" s="409"/>
    </row>
    <row r="17" spans="1:1">
      <c r="A17" s="409"/>
    </row>
    <row r="18" spans="1:1">
      <c r="A18" s="409"/>
    </row>
    <row r="19" spans="1:1">
      <c r="A19" s="409"/>
    </row>
    <row r="20" spans="1:1" ht="16" thickBot="1">
      <c r="A20" s="410"/>
    </row>
    <row r="21" spans="1:1" ht="17" thickTop="1" thickBot="1">
      <c r="A21" s="81"/>
    </row>
    <row r="22" spans="1:1" ht="16" thickTop="1">
      <c r="A22" s="99" t="s">
        <v>2092</v>
      </c>
    </row>
    <row r="23" spans="1:1" ht="30">
      <c r="A23" s="100" t="s">
        <v>2093</v>
      </c>
    </row>
    <row r="24" spans="1:1">
      <c r="A24" s="100"/>
    </row>
    <row r="25" spans="1:1" ht="136" thickBot="1">
      <c r="A25" s="101" t="s">
        <v>2094</v>
      </c>
    </row>
    <row r="26" spans="1:1" ht="16" thickTop="1">
      <c r="A26" s="100"/>
    </row>
    <row r="27" spans="1:1" ht="61" thickBot="1">
      <c r="A27" s="101" t="s">
        <v>2095</v>
      </c>
    </row>
    <row r="28" spans="1:1" ht="16" thickTop="1">
      <c r="A28" s="81"/>
    </row>
    <row r="29" spans="1:1">
      <c r="A29" s="81"/>
    </row>
    <row r="30" spans="1:1" ht="16" thickBot="1"/>
    <row r="31" spans="1:1" ht="16" thickTop="1">
      <c r="A31" s="88" t="s">
        <v>2096</v>
      </c>
    </row>
    <row r="32" spans="1:1">
      <c r="A32" s="87" t="s">
        <v>875</v>
      </c>
    </row>
    <row r="33" spans="1:1">
      <c r="A33" s="87" t="s">
        <v>841</v>
      </c>
    </row>
    <row r="34" spans="1:1">
      <c r="A34" s="87" t="s">
        <v>1461</v>
      </c>
    </row>
    <row r="35" spans="1:1">
      <c r="A35" s="87" t="s">
        <v>1462</v>
      </c>
    </row>
    <row r="36" spans="1:1">
      <c r="A36" s="87" t="s">
        <v>1463</v>
      </c>
    </row>
    <row r="37" spans="1:1">
      <c r="A37" s="87" t="s">
        <v>844</v>
      </c>
    </row>
    <row r="38" spans="1:1">
      <c r="A38" s="87" t="s">
        <v>1464</v>
      </c>
    </row>
    <row r="39" spans="1:1">
      <c r="A39" s="87" t="s">
        <v>954</v>
      </c>
    </row>
    <row r="40" spans="1:1">
      <c r="A40" s="87" t="s">
        <v>422</v>
      </c>
    </row>
    <row r="41" spans="1:1">
      <c r="A41" s="87" t="s">
        <v>1465</v>
      </c>
    </row>
    <row r="42" spans="1:1">
      <c r="A42" s="87" t="s">
        <v>1466</v>
      </c>
    </row>
    <row r="43" spans="1:1">
      <c r="A43" s="87" t="s">
        <v>444</v>
      </c>
    </row>
    <row r="44" spans="1:1">
      <c r="A44" s="87" t="s">
        <v>472</v>
      </c>
    </row>
    <row r="45" spans="1:1">
      <c r="A45" s="87" t="s">
        <v>479</v>
      </c>
    </row>
    <row r="46" spans="1:1">
      <c r="A46" s="87" t="s">
        <v>211</v>
      </c>
    </row>
    <row r="47" spans="1:1">
      <c r="A47" s="87" t="s">
        <v>526</v>
      </c>
    </row>
    <row r="48" spans="1:1">
      <c r="A48" s="87" t="s">
        <v>1467</v>
      </c>
    </row>
    <row r="49" spans="1:1">
      <c r="A49" s="87" t="s">
        <v>845</v>
      </c>
    </row>
    <row r="50" spans="1:1">
      <c r="A50" s="87" t="s">
        <v>846</v>
      </c>
    </row>
    <row r="51" spans="1:1">
      <c r="A51" s="87" t="s">
        <v>575</v>
      </c>
    </row>
    <row r="52" spans="1:1">
      <c r="A52" s="87" t="s">
        <v>595</v>
      </c>
    </row>
    <row r="53" spans="1:1">
      <c r="A53" s="87" t="s">
        <v>1468</v>
      </c>
    </row>
    <row r="54" spans="1:1">
      <c r="A54" s="87" t="s">
        <v>847</v>
      </c>
    </row>
    <row r="55" spans="1:1">
      <c r="A55" s="87" t="s">
        <v>1469</v>
      </c>
    </row>
    <row r="56" spans="1:1">
      <c r="A56" s="87" t="s">
        <v>213</v>
      </c>
    </row>
    <row r="57" spans="1:1">
      <c r="A57" s="87" t="s">
        <v>849</v>
      </c>
    </row>
    <row r="58" spans="1:1">
      <c r="A58" s="87" t="s">
        <v>1470</v>
      </c>
    </row>
    <row r="59" spans="1:1">
      <c r="A59" s="87" t="s">
        <v>672</v>
      </c>
    </row>
    <row r="60" spans="1:1">
      <c r="A60" s="87" t="s">
        <v>851</v>
      </c>
    </row>
    <row r="61" spans="1:1">
      <c r="A61" s="87" t="s">
        <v>694</v>
      </c>
    </row>
    <row r="62" spans="1:1">
      <c r="A62" s="87" t="s">
        <v>705</v>
      </c>
    </row>
    <row r="63" spans="1:1">
      <c r="A63" s="87" t="s">
        <v>852</v>
      </c>
    </row>
    <row r="64" spans="1:1">
      <c r="A64" s="87" t="s">
        <v>1471</v>
      </c>
    </row>
    <row r="65" spans="1:1">
      <c r="A65" s="87" t="s">
        <v>1472</v>
      </c>
    </row>
    <row r="66" spans="1:1">
      <c r="A66" s="87" t="s">
        <v>1473</v>
      </c>
    </row>
    <row r="67" spans="1:1">
      <c r="A67" s="87" t="s">
        <v>776</v>
      </c>
    </row>
    <row r="68" spans="1:1">
      <c r="A68" s="87" t="s">
        <v>1474</v>
      </c>
    </row>
    <row r="69" spans="1:1" ht="16" thickBot="1">
      <c r="A69" s="89" t="s">
        <v>1475</v>
      </c>
    </row>
    <row r="70" spans="1:1" ht="16" thickTop="1">
      <c r="A70" s="16"/>
    </row>
    <row r="71" spans="1:1" ht="16" thickBot="1"/>
    <row r="72" spans="1:1" ht="16" thickTop="1">
      <c r="A72" s="85" t="s">
        <v>1476</v>
      </c>
    </row>
    <row r="73" spans="1:1">
      <c r="A73" s="87" t="s">
        <v>215</v>
      </c>
    </row>
    <row r="74" spans="1:1">
      <c r="A74" s="87" t="s">
        <v>1477</v>
      </c>
    </row>
    <row r="75" spans="1:1">
      <c r="A75" s="87" t="s">
        <v>1478</v>
      </c>
    </row>
    <row r="76" spans="1:1">
      <c r="A76" s="87" t="s">
        <v>858</v>
      </c>
    </row>
    <row r="77" spans="1:1">
      <c r="A77" s="87" t="s">
        <v>1479</v>
      </c>
    </row>
    <row r="78" spans="1:1">
      <c r="A78" s="87" t="s">
        <v>216</v>
      </c>
    </row>
    <row r="79" spans="1:1">
      <c r="A79" s="87" t="s">
        <v>217</v>
      </c>
    </row>
    <row r="80" spans="1:1">
      <c r="A80" s="87" t="s">
        <v>1480</v>
      </c>
    </row>
    <row r="81" spans="1:1">
      <c r="A81" s="87" t="s">
        <v>1481</v>
      </c>
    </row>
    <row r="82" spans="1:1">
      <c r="A82" s="87" t="s">
        <v>1482</v>
      </c>
    </row>
    <row r="83" spans="1:1">
      <c r="A83" s="87" t="s">
        <v>1483</v>
      </c>
    </row>
    <row r="84" spans="1:1">
      <c r="A84" s="87" t="s">
        <v>218</v>
      </c>
    </row>
    <row r="85" spans="1:1">
      <c r="A85" s="87" t="s">
        <v>1484</v>
      </c>
    </row>
    <row r="86" spans="1:1">
      <c r="A86" s="87" t="s">
        <v>219</v>
      </c>
    </row>
    <row r="87" spans="1:1">
      <c r="A87" s="87" t="s">
        <v>220</v>
      </c>
    </row>
    <row r="88" spans="1:1">
      <c r="A88" s="87" t="s">
        <v>1485</v>
      </c>
    </row>
    <row r="89" spans="1:1">
      <c r="A89" s="87" t="s">
        <v>1486</v>
      </c>
    </row>
    <row r="90" spans="1:1">
      <c r="A90" s="87" t="s">
        <v>1487</v>
      </c>
    </row>
    <row r="91" spans="1:1">
      <c r="A91" s="87" t="s">
        <v>222</v>
      </c>
    </row>
    <row r="92" spans="1:1">
      <c r="A92" s="87" t="s">
        <v>1488</v>
      </c>
    </row>
    <row r="93" spans="1:1">
      <c r="A93" s="87" t="s">
        <v>860</v>
      </c>
    </row>
    <row r="94" spans="1:1">
      <c r="A94" s="87" t="s">
        <v>1489</v>
      </c>
    </row>
    <row r="95" spans="1:1">
      <c r="A95" s="87" t="s">
        <v>861</v>
      </c>
    </row>
    <row r="96" spans="1:1">
      <c r="A96" s="87" t="s">
        <v>226</v>
      </c>
    </row>
    <row r="97" spans="1:1">
      <c r="A97" s="87" t="s">
        <v>1490</v>
      </c>
    </row>
    <row r="98" spans="1:1">
      <c r="A98" s="87" t="s">
        <v>1491</v>
      </c>
    </row>
    <row r="99" spans="1:1">
      <c r="A99" s="87" t="s">
        <v>1492</v>
      </c>
    </row>
    <row r="100" spans="1:1">
      <c r="A100" s="87" t="s">
        <v>227</v>
      </c>
    </row>
    <row r="101" spans="1:1">
      <c r="A101" s="87" t="s">
        <v>228</v>
      </c>
    </row>
    <row r="102" spans="1:1">
      <c r="A102" s="87" t="s">
        <v>1493</v>
      </c>
    </row>
    <row r="103" spans="1:1">
      <c r="A103" s="87" t="s">
        <v>229</v>
      </c>
    </row>
    <row r="104" spans="1:1">
      <c r="A104" s="87" t="s">
        <v>230</v>
      </c>
    </row>
    <row r="105" spans="1:1">
      <c r="A105" s="87" t="s">
        <v>1494</v>
      </c>
    </row>
    <row r="106" spans="1:1">
      <c r="A106" s="87" t="s">
        <v>1495</v>
      </c>
    </row>
    <row r="107" spans="1:1">
      <c r="A107" s="87" t="s">
        <v>1496</v>
      </c>
    </row>
    <row r="108" spans="1:1">
      <c r="A108" s="87" t="s">
        <v>1497</v>
      </c>
    </row>
    <row r="109" spans="1:1">
      <c r="A109" s="87" t="s">
        <v>231</v>
      </c>
    </row>
    <row r="110" spans="1:1">
      <c r="A110" s="87" t="s">
        <v>232</v>
      </c>
    </row>
    <row r="111" spans="1:1">
      <c r="A111" s="87" t="s">
        <v>1498</v>
      </c>
    </row>
    <row r="112" spans="1:1">
      <c r="A112" s="87" t="s">
        <v>1499</v>
      </c>
    </row>
    <row r="113" spans="1:1">
      <c r="A113" s="87" t="s">
        <v>1500</v>
      </c>
    </row>
    <row r="114" spans="1:1">
      <c r="A114" s="87" t="s">
        <v>1501</v>
      </c>
    </row>
    <row r="115" spans="1:1">
      <c r="A115" s="87" t="s">
        <v>1502</v>
      </c>
    </row>
    <row r="116" spans="1:1">
      <c r="A116" s="87" t="s">
        <v>233</v>
      </c>
    </row>
    <row r="117" spans="1:1">
      <c r="A117" s="87" t="s">
        <v>234</v>
      </c>
    </row>
    <row r="118" spans="1:1">
      <c r="A118" s="87" t="s">
        <v>235</v>
      </c>
    </row>
    <row r="119" spans="1:1">
      <c r="A119" s="87" t="s">
        <v>865</v>
      </c>
    </row>
    <row r="120" spans="1:1">
      <c r="A120" s="87" t="s">
        <v>236</v>
      </c>
    </row>
    <row r="121" spans="1:1">
      <c r="A121" s="87" t="s">
        <v>1503</v>
      </c>
    </row>
    <row r="122" spans="1:1">
      <c r="A122" s="87" t="s">
        <v>868</v>
      </c>
    </row>
    <row r="123" spans="1:1">
      <c r="A123" s="87" t="s">
        <v>1504</v>
      </c>
    </row>
    <row r="124" spans="1:1">
      <c r="A124" s="87" t="s">
        <v>1505</v>
      </c>
    </row>
    <row r="125" spans="1:1">
      <c r="A125" s="87" t="s">
        <v>1506</v>
      </c>
    </row>
    <row r="126" spans="1:1">
      <c r="A126" s="87" t="s">
        <v>1507</v>
      </c>
    </row>
    <row r="127" spans="1:1">
      <c r="A127" s="87" t="s">
        <v>237</v>
      </c>
    </row>
    <row r="128" spans="1:1">
      <c r="A128" s="87" t="s">
        <v>1508</v>
      </c>
    </row>
    <row r="129" spans="1:1">
      <c r="A129" s="87" t="s">
        <v>1509</v>
      </c>
    </row>
    <row r="130" spans="1:1">
      <c r="A130" s="87" t="s">
        <v>871</v>
      </c>
    </row>
    <row r="131" spans="1:1">
      <c r="A131" s="87" t="s">
        <v>238</v>
      </c>
    </row>
    <row r="132" spans="1:1">
      <c r="A132" s="87" t="s">
        <v>239</v>
      </c>
    </row>
    <row r="133" spans="1:1">
      <c r="A133" s="87" t="s">
        <v>240</v>
      </c>
    </row>
    <row r="134" spans="1:1">
      <c r="A134" s="87" t="s">
        <v>1510</v>
      </c>
    </row>
    <row r="135" spans="1:1">
      <c r="A135" s="87" t="s">
        <v>872</v>
      </c>
    </row>
    <row r="136" spans="1:1">
      <c r="A136" s="87" t="s">
        <v>241</v>
      </c>
    </row>
    <row r="137" spans="1:1">
      <c r="A137" s="87" t="s">
        <v>242</v>
      </c>
    </row>
    <row r="138" spans="1:1">
      <c r="A138" s="87" t="s">
        <v>1511</v>
      </c>
    </row>
    <row r="139" spans="1:1">
      <c r="A139" s="87" t="s">
        <v>1512</v>
      </c>
    </row>
    <row r="140" spans="1:1">
      <c r="A140" s="87" t="s">
        <v>873</v>
      </c>
    </row>
    <row r="141" spans="1:1">
      <c r="A141" s="87" t="s">
        <v>1513</v>
      </c>
    </row>
    <row r="142" spans="1:1">
      <c r="A142" s="87" t="s">
        <v>1514</v>
      </c>
    </row>
    <row r="143" spans="1:1">
      <c r="A143" s="87" t="s">
        <v>1515</v>
      </c>
    </row>
    <row r="144" spans="1:1">
      <c r="A144" s="87" t="s">
        <v>1516</v>
      </c>
    </row>
    <row r="145" spans="1:1">
      <c r="A145" s="87" t="s">
        <v>243</v>
      </c>
    </row>
    <row r="146" spans="1:1">
      <c r="A146" s="87" t="s">
        <v>875</v>
      </c>
    </row>
    <row r="147" spans="1:1">
      <c r="A147" s="87" t="s">
        <v>877</v>
      </c>
    </row>
    <row r="148" spans="1:1">
      <c r="A148" s="87" t="s">
        <v>244</v>
      </c>
    </row>
    <row r="149" spans="1:1">
      <c r="A149" s="87" t="s">
        <v>1517</v>
      </c>
    </row>
    <row r="150" spans="1:1">
      <c r="A150" s="87" t="s">
        <v>245</v>
      </c>
    </row>
    <row r="151" spans="1:1">
      <c r="A151" s="87" t="s">
        <v>246</v>
      </c>
    </row>
    <row r="152" spans="1:1">
      <c r="A152" s="87" t="s">
        <v>247</v>
      </c>
    </row>
    <row r="153" spans="1:1">
      <c r="A153" s="87" t="s">
        <v>248</v>
      </c>
    </row>
    <row r="154" spans="1:1">
      <c r="A154" s="87" t="s">
        <v>1518</v>
      </c>
    </row>
    <row r="155" spans="1:1">
      <c r="A155" s="87" t="s">
        <v>249</v>
      </c>
    </row>
    <row r="156" spans="1:1">
      <c r="A156" s="87" t="s">
        <v>250</v>
      </c>
    </row>
    <row r="157" spans="1:1">
      <c r="A157" s="87" t="s">
        <v>251</v>
      </c>
    </row>
    <row r="158" spans="1:1">
      <c r="A158" s="87" t="s">
        <v>252</v>
      </c>
    </row>
    <row r="159" spans="1:1">
      <c r="A159" s="87" t="s">
        <v>253</v>
      </c>
    </row>
    <row r="160" spans="1:1">
      <c r="A160" s="87" t="s">
        <v>254</v>
      </c>
    </row>
    <row r="161" spans="1:1">
      <c r="A161" s="87" t="s">
        <v>1519</v>
      </c>
    </row>
    <row r="162" spans="1:1">
      <c r="A162" s="87" t="s">
        <v>1520</v>
      </c>
    </row>
    <row r="163" spans="1:1">
      <c r="A163" s="87" t="s">
        <v>878</v>
      </c>
    </row>
    <row r="164" spans="1:1">
      <c r="A164" s="87" t="s">
        <v>1521</v>
      </c>
    </row>
    <row r="165" spans="1:1">
      <c r="A165" s="87" t="s">
        <v>255</v>
      </c>
    </row>
    <row r="166" spans="1:1">
      <c r="A166" s="87" t="s">
        <v>1522</v>
      </c>
    </row>
    <row r="167" spans="1:1">
      <c r="A167" s="87" t="s">
        <v>879</v>
      </c>
    </row>
    <row r="168" spans="1:1">
      <c r="A168" s="87" t="s">
        <v>256</v>
      </c>
    </row>
    <row r="169" spans="1:1">
      <c r="A169" s="87" t="s">
        <v>257</v>
      </c>
    </row>
    <row r="170" spans="1:1">
      <c r="A170" s="87" t="s">
        <v>258</v>
      </c>
    </row>
    <row r="171" spans="1:1">
      <c r="A171" s="87" t="s">
        <v>259</v>
      </c>
    </row>
    <row r="172" spans="1:1">
      <c r="A172" s="87" t="s">
        <v>1523</v>
      </c>
    </row>
    <row r="173" spans="1:1">
      <c r="A173" s="87" t="s">
        <v>260</v>
      </c>
    </row>
    <row r="174" spans="1:1">
      <c r="A174" s="87" t="s">
        <v>261</v>
      </c>
    </row>
    <row r="175" spans="1:1">
      <c r="A175" s="87" t="s">
        <v>880</v>
      </c>
    </row>
    <row r="176" spans="1:1">
      <c r="A176" s="87" t="s">
        <v>264</v>
      </c>
    </row>
    <row r="177" spans="1:1">
      <c r="A177" s="87" t="s">
        <v>265</v>
      </c>
    </row>
    <row r="178" spans="1:1">
      <c r="A178" s="87" t="s">
        <v>881</v>
      </c>
    </row>
    <row r="179" spans="1:1">
      <c r="A179" s="87" t="s">
        <v>882</v>
      </c>
    </row>
    <row r="180" spans="1:1">
      <c r="A180" s="87" t="s">
        <v>1524</v>
      </c>
    </row>
    <row r="181" spans="1:1">
      <c r="A181" s="87" t="s">
        <v>1525</v>
      </c>
    </row>
    <row r="182" spans="1:1">
      <c r="A182" s="87" t="s">
        <v>266</v>
      </c>
    </row>
    <row r="183" spans="1:1">
      <c r="A183" s="87" t="s">
        <v>883</v>
      </c>
    </row>
    <row r="184" spans="1:1">
      <c r="A184" s="87" t="s">
        <v>267</v>
      </c>
    </row>
    <row r="185" spans="1:1">
      <c r="A185" s="87" t="s">
        <v>268</v>
      </c>
    </row>
    <row r="186" spans="1:1">
      <c r="A186" s="87" t="s">
        <v>884</v>
      </c>
    </row>
    <row r="187" spans="1:1">
      <c r="A187" s="87" t="s">
        <v>885</v>
      </c>
    </row>
    <row r="188" spans="1:1">
      <c r="A188" s="87" t="s">
        <v>269</v>
      </c>
    </row>
    <row r="189" spans="1:1">
      <c r="A189" s="87" t="s">
        <v>1526</v>
      </c>
    </row>
    <row r="190" spans="1:1">
      <c r="A190" s="87" t="s">
        <v>270</v>
      </c>
    </row>
    <row r="191" spans="1:1">
      <c r="A191" s="87" t="s">
        <v>271</v>
      </c>
    </row>
    <row r="192" spans="1:1">
      <c r="A192" s="87" t="s">
        <v>887</v>
      </c>
    </row>
    <row r="193" spans="1:1">
      <c r="A193" s="87" t="s">
        <v>272</v>
      </c>
    </row>
    <row r="194" spans="1:1">
      <c r="A194" s="87" t="s">
        <v>1527</v>
      </c>
    </row>
    <row r="195" spans="1:1">
      <c r="A195" s="87" t="s">
        <v>1528</v>
      </c>
    </row>
    <row r="196" spans="1:1">
      <c r="A196" s="87" t="s">
        <v>1529</v>
      </c>
    </row>
    <row r="197" spans="1:1">
      <c r="A197" s="87" t="s">
        <v>1530</v>
      </c>
    </row>
    <row r="198" spans="1:1">
      <c r="A198" s="87" t="s">
        <v>273</v>
      </c>
    </row>
    <row r="199" spans="1:1">
      <c r="A199" s="87" t="s">
        <v>274</v>
      </c>
    </row>
    <row r="200" spans="1:1">
      <c r="A200" s="87" t="s">
        <v>1531</v>
      </c>
    </row>
    <row r="201" spans="1:1">
      <c r="A201" s="87" t="s">
        <v>889</v>
      </c>
    </row>
    <row r="202" spans="1:1">
      <c r="A202" s="87" t="s">
        <v>1532</v>
      </c>
    </row>
    <row r="203" spans="1:1">
      <c r="A203" s="87" t="s">
        <v>891</v>
      </c>
    </row>
    <row r="204" spans="1:1">
      <c r="A204" s="87" t="s">
        <v>1533</v>
      </c>
    </row>
    <row r="205" spans="1:1">
      <c r="A205" s="87" t="s">
        <v>275</v>
      </c>
    </row>
    <row r="206" spans="1:1">
      <c r="A206" s="87" t="s">
        <v>1534</v>
      </c>
    </row>
    <row r="207" spans="1:1">
      <c r="A207" s="87" t="s">
        <v>276</v>
      </c>
    </row>
    <row r="208" spans="1:1">
      <c r="A208" s="87" t="s">
        <v>892</v>
      </c>
    </row>
    <row r="209" spans="1:1">
      <c r="A209" s="87" t="s">
        <v>1535</v>
      </c>
    </row>
    <row r="210" spans="1:1">
      <c r="A210" s="87" t="s">
        <v>279</v>
      </c>
    </row>
    <row r="211" spans="1:1">
      <c r="A211" s="87" t="s">
        <v>280</v>
      </c>
    </row>
    <row r="212" spans="1:1">
      <c r="A212" s="87" t="s">
        <v>1536</v>
      </c>
    </row>
    <row r="213" spans="1:1">
      <c r="A213" s="87" t="s">
        <v>1537</v>
      </c>
    </row>
    <row r="214" spans="1:1">
      <c r="A214" s="87" t="s">
        <v>1538</v>
      </c>
    </row>
    <row r="215" spans="1:1">
      <c r="A215" s="87" t="s">
        <v>281</v>
      </c>
    </row>
    <row r="216" spans="1:1">
      <c r="A216" s="87" t="s">
        <v>282</v>
      </c>
    </row>
    <row r="217" spans="1:1">
      <c r="A217" s="87" t="s">
        <v>893</v>
      </c>
    </row>
    <row r="218" spans="1:1">
      <c r="A218" s="87" t="s">
        <v>1539</v>
      </c>
    </row>
    <row r="219" spans="1:1">
      <c r="A219" s="87" t="s">
        <v>895</v>
      </c>
    </row>
    <row r="220" spans="1:1">
      <c r="A220" s="87" t="s">
        <v>1540</v>
      </c>
    </row>
    <row r="221" spans="1:1">
      <c r="A221" s="87" t="s">
        <v>896</v>
      </c>
    </row>
    <row r="222" spans="1:1">
      <c r="A222" s="87" t="s">
        <v>897</v>
      </c>
    </row>
    <row r="223" spans="1:1">
      <c r="A223" s="87" t="s">
        <v>1541</v>
      </c>
    </row>
    <row r="224" spans="1:1">
      <c r="A224" s="87" t="s">
        <v>1542</v>
      </c>
    </row>
    <row r="225" spans="1:1">
      <c r="A225" s="87" t="s">
        <v>1543</v>
      </c>
    </row>
    <row r="226" spans="1:1">
      <c r="A226" s="87" t="s">
        <v>1544</v>
      </c>
    </row>
    <row r="227" spans="1:1">
      <c r="A227" s="87" t="s">
        <v>283</v>
      </c>
    </row>
    <row r="228" spans="1:1">
      <c r="A228" s="87" t="s">
        <v>1545</v>
      </c>
    </row>
    <row r="229" spans="1:1">
      <c r="A229" s="87" t="s">
        <v>1546</v>
      </c>
    </row>
    <row r="230" spans="1:1">
      <c r="A230" s="87" t="s">
        <v>1547</v>
      </c>
    </row>
    <row r="231" spans="1:1">
      <c r="A231" s="87" t="s">
        <v>1548</v>
      </c>
    </row>
    <row r="232" spans="1:1">
      <c r="A232" s="87" t="s">
        <v>1549</v>
      </c>
    </row>
    <row r="233" spans="1:1">
      <c r="A233" s="87" t="s">
        <v>284</v>
      </c>
    </row>
    <row r="234" spans="1:1">
      <c r="A234" s="87" t="s">
        <v>1550</v>
      </c>
    </row>
    <row r="235" spans="1:1">
      <c r="A235" s="87" t="s">
        <v>1551</v>
      </c>
    </row>
    <row r="236" spans="1:1">
      <c r="A236" s="87" t="s">
        <v>899</v>
      </c>
    </row>
    <row r="237" spans="1:1">
      <c r="A237" s="87" t="s">
        <v>285</v>
      </c>
    </row>
    <row r="238" spans="1:1">
      <c r="A238" s="87" t="s">
        <v>901</v>
      </c>
    </row>
    <row r="239" spans="1:1">
      <c r="A239" s="87" t="s">
        <v>286</v>
      </c>
    </row>
    <row r="240" spans="1:1">
      <c r="A240" s="87" t="s">
        <v>287</v>
      </c>
    </row>
    <row r="241" spans="1:1">
      <c r="A241" s="87" t="s">
        <v>1552</v>
      </c>
    </row>
    <row r="242" spans="1:1">
      <c r="A242" s="87" t="s">
        <v>288</v>
      </c>
    </row>
    <row r="243" spans="1:1">
      <c r="A243" s="87" t="s">
        <v>1553</v>
      </c>
    </row>
    <row r="244" spans="1:1">
      <c r="A244" s="87" t="s">
        <v>289</v>
      </c>
    </row>
    <row r="245" spans="1:1">
      <c r="A245" s="87" t="s">
        <v>1554</v>
      </c>
    </row>
    <row r="246" spans="1:1">
      <c r="A246" s="87" t="s">
        <v>1555</v>
      </c>
    </row>
    <row r="247" spans="1:1">
      <c r="A247" s="87" t="s">
        <v>902</v>
      </c>
    </row>
    <row r="248" spans="1:1">
      <c r="A248" s="87" t="s">
        <v>1556</v>
      </c>
    </row>
    <row r="249" spans="1:1">
      <c r="A249" s="87" t="s">
        <v>1557</v>
      </c>
    </row>
    <row r="250" spans="1:1">
      <c r="A250" s="87" t="s">
        <v>1558</v>
      </c>
    </row>
    <row r="251" spans="1:1">
      <c r="A251" s="87" t="s">
        <v>1559</v>
      </c>
    </row>
    <row r="252" spans="1:1">
      <c r="A252" s="87" t="s">
        <v>290</v>
      </c>
    </row>
    <row r="253" spans="1:1">
      <c r="A253" s="87" t="s">
        <v>291</v>
      </c>
    </row>
    <row r="254" spans="1:1">
      <c r="A254" s="87" t="s">
        <v>292</v>
      </c>
    </row>
    <row r="255" spans="1:1">
      <c r="A255" s="87" t="s">
        <v>293</v>
      </c>
    </row>
    <row r="256" spans="1:1">
      <c r="A256" s="87" t="s">
        <v>903</v>
      </c>
    </row>
    <row r="257" spans="1:1">
      <c r="A257" s="87" t="s">
        <v>904</v>
      </c>
    </row>
    <row r="258" spans="1:1">
      <c r="A258" s="87" t="s">
        <v>294</v>
      </c>
    </row>
    <row r="259" spans="1:1">
      <c r="A259" s="87" t="s">
        <v>295</v>
      </c>
    </row>
    <row r="260" spans="1:1">
      <c r="A260" s="87" t="s">
        <v>296</v>
      </c>
    </row>
    <row r="261" spans="1:1">
      <c r="A261" s="87" t="s">
        <v>1560</v>
      </c>
    </row>
    <row r="262" spans="1:1">
      <c r="A262" s="87" t="s">
        <v>297</v>
      </c>
    </row>
    <row r="263" spans="1:1">
      <c r="A263" s="87" t="s">
        <v>1561</v>
      </c>
    </row>
    <row r="264" spans="1:1">
      <c r="A264" s="87" t="s">
        <v>905</v>
      </c>
    </row>
    <row r="265" spans="1:1">
      <c r="A265" s="87" t="s">
        <v>906</v>
      </c>
    </row>
    <row r="266" spans="1:1">
      <c r="A266" s="87" t="s">
        <v>300</v>
      </c>
    </row>
    <row r="267" spans="1:1">
      <c r="A267" s="87" t="s">
        <v>301</v>
      </c>
    </row>
    <row r="268" spans="1:1">
      <c r="A268" s="87" t="s">
        <v>1562</v>
      </c>
    </row>
    <row r="269" spans="1:1">
      <c r="A269" s="87" t="s">
        <v>302</v>
      </c>
    </row>
    <row r="270" spans="1:1">
      <c r="A270" s="87" t="s">
        <v>303</v>
      </c>
    </row>
    <row r="271" spans="1:1">
      <c r="A271" s="87" t="s">
        <v>907</v>
      </c>
    </row>
    <row r="272" spans="1:1">
      <c r="A272" s="87" t="s">
        <v>1563</v>
      </c>
    </row>
    <row r="273" spans="1:1">
      <c r="A273" s="87" t="s">
        <v>304</v>
      </c>
    </row>
    <row r="274" spans="1:1">
      <c r="A274" s="87" t="s">
        <v>305</v>
      </c>
    </row>
    <row r="275" spans="1:1">
      <c r="A275" s="87" t="s">
        <v>306</v>
      </c>
    </row>
    <row r="276" spans="1:1">
      <c r="A276" s="87" t="s">
        <v>1564</v>
      </c>
    </row>
    <row r="277" spans="1:1">
      <c r="A277" s="87" t="s">
        <v>1565</v>
      </c>
    </row>
    <row r="278" spans="1:1">
      <c r="A278" s="87" t="s">
        <v>307</v>
      </c>
    </row>
    <row r="279" spans="1:1">
      <c r="A279" s="87" t="s">
        <v>309</v>
      </c>
    </row>
    <row r="280" spans="1:1">
      <c r="A280" s="87" t="s">
        <v>1566</v>
      </c>
    </row>
    <row r="281" spans="1:1">
      <c r="A281" s="87" t="s">
        <v>1567</v>
      </c>
    </row>
    <row r="282" spans="1:1">
      <c r="A282" s="87" t="s">
        <v>1568</v>
      </c>
    </row>
    <row r="283" spans="1:1">
      <c r="A283" s="87" t="s">
        <v>310</v>
      </c>
    </row>
    <row r="284" spans="1:1">
      <c r="A284" s="87" t="s">
        <v>1569</v>
      </c>
    </row>
    <row r="285" spans="1:1">
      <c r="A285" s="87" t="s">
        <v>1570</v>
      </c>
    </row>
    <row r="286" spans="1:1">
      <c r="A286" s="87" t="s">
        <v>311</v>
      </c>
    </row>
    <row r="287" spans="1:1">
      <c r="A287" s="87" t="s">
        <v>1571</v>
      </c>
    </row>
    <row r="288" spans="1:1">
      <c r="A288" s="87" t="s">
        <v>1572</v>
      </c>
    </row>
    <row r="289" spans="1:1">
      <c r="A289" s="87" t="s">
        <v>1573</v>
      </c>
    </row>
    <row r="290" spans="1:1">
      <c r="A290" s="87" t="s">
        <v>312</v>
      </c>
    </row>
    <row r="291" spans="1:1">
      <c r="A291" s="87" t="s">
        <v>313</v>
      </c>
    </row>
    <row r="292" spans="1:1">
      <c r="A292" s="87" t="s">
        <v>314</v>
      </c>
    </row>
    <row r="293" spans="1:1">
      <c r="A293" s="87" t="s">
        <v>315</v>
      </c>
    </row>
    <row r="294" spans="1:1">
      <c r="A294" s="87" t="s">
        <v>316</v>
      </c>
    </row>
    <row r="295" spans="1:1">
      <c r="A295" s="87" t="s">
        <v>317</v>
      </c>
    </row>
    <row r="296" spans="1:1">
      <c r="A296" s="87" t="s">
        <v>318</v>
      </c>
    </row>
    <row r="297" spans="1:1">
      <c r="A297" s="87" t="s">
        <v>909</v>
      </c>
    </row>
    <row r="298" spans="1:1">
      <c r="A298" s="87" t="s">
        <v>1574</v>
      </c>
    </row>
    <row r="299" spans="1:1">
      <c r="A299" s="87" t="s">
        <v>1575</v>
      </c>
    </row>
    <row r="300" spans="1:1">
      <c r="A300" s="87" t="s">
        <v>319</v>
      </c>
    </row>
    <row r="301" spans="1:1">
      <c r="A301" s="87" t="s">
        <v>320</v>
      </c>
    </row>
    <row r="302" spans="1:1">
      <c r="A302" s="87" t="s">
        <v>323</v>
      </c>
    </row>
    <row r="303" spans="1:1">
      <c r="A303" s="87" t="s">
        <v>911</v>
      </c>
    </row>
    <row r="304" spans="1:1">
      <c r="A304" s="87" t="s">
        <v>912</v>
      </c>
    </row>
    <row r="305" spans="1:1">
      <c r="A305" s="87" t="s">
        <v>324</v>
      </c>
    </row>
    <row r="306" spans="1:1">
      <c r="A306" s="87" t="s">
        <v>325</v>
      </c>
    </row>
    <row r="307" spans="1:1">
      <c r="A307" s="87" t="s">
        <v>913</v>
      </c>
    </row>
    <row r="308" spans="1:1">
      <c r="A308" s="87" t="s">
        <v>326</v>
      </c>
    </row>
    <row r="309" spans="1:1">
      <c r="A309" s="87" t="s">
        <v>1576</v>
      </c>
    </row>
    <row r="310" spans="1:1">
      <c r="A310" s="87" t="s">
        <v>1577</v>
      </c>
    </row>
    <row r="311" spans="1:1">
      <c r="A311" s="87" t="s">
        <v>1578</v>
      </c>
    </row>
    <row r="312" spans="1:1">
      <c r="A312" s="87" t="s">
        <v>327</v>
      </c>
    </row>
    <row r="313" spans="1:1">
      <c r="A313" s="87" t="s">
        <v>328</v>
      </c>
    </row>
    <row r="314" spans="1:1">
      <c r="A314" s="87" t="s">
        <v>1579</v>
      </c>
    </row>
    <row r="315" spans="1:1">
      <c r="A315" s="87" t="s">
        <v>329</v>
      </c>
    </row>
    <row r="316" spans="1:1">
      <c r="A316" s="87" t="s">
        <v>330</v>
      </c>
    </row>
    <row r="317" spans="1:1">
      <c r="A317" s="87" t="s">
        <v>915</v>
      </c>
    </row>
    <row r="318" spans="1:1">
      <c r="A318" s="87" t="s">
        <v>331</v>
      </c>
    </row>
    <row r="319" spans="1:1">
      <c r="A319" s="87" t="s">
        <v>332</v>
      </c>
    </row>
    <row r="320" spans="1:1">
      <c r="A320" s="87" t="s">
        <v>1580</v>
      </c>
    </row>
    <row r="321" spans="1:1">
      <c r="A321" s="87" t="s">
        <v>333</v>
      </c>
    </row>
    <row r="322" spans="1:1">
      <c r="A322" s="87" t="s">
        <v>334</v>
      </c>
    </row>
    <row r="323" spans="1:1">
      <c r="A323" s="87" t="s">
        <v>1581</v>
      </c>
    </row>
    <row r="324" spans="1:1">
      <c r="A324" s="87" t="s">
        <v>335</v>
      </c>
    </row>
    <row r="325" spans="1:1">
      <c r="A325" s="87" t="s">
        <v>337</v>
      </c>
    </row>
    <row r="326" spans="1:1">
      <c r="A326" s="87" t="s">
        <v>338</v>
      </c>
    </row>
    <row r="327" spans="1:1">
      <c r="A327" s="87" t="s">
        <v>916</v>
      </c>
    </row>
    <row r="328" spans="1:1">
      <c r="A328" s="87" t="s">
        <v>339</v>
      </c>
    </row>
    <row r="329" spans="1:1">
      <c r="A329" s="87" t="s">
        <v>340</v>
      </c>
    </row>
    <row r="330" spans="1:1">
      <c r="A330" s="87" t="s">
        <v>341</v>
      </c>
    </row>
    <row r="331" spans="1:1">
      <c r="A331" s="87" t="s">
        <v>342</v>
      </c>
    </row>
    <row r="332" spans="1:1">
      <c r="A332" s="87" t="s">
        <v>343</v>
      </c>
    </row>
    <row r="333" spans="1:1">
      <c r="A333" s="87" t="s">
        <v>1582</v>
      </c>
    </row>
    <row r="334" spans="1:1">
      <c r="A334" s="87" t="s">
        <v>917</v>
      </c>
    </row>
    <row r="335" spans="1:1">
      <c r="A335" s="87" t="s">
        <v>918</v>
      </c>
    </row>
    <row r="336" spans="1:1">
      <c r="A336" s="87" t="s">
        <v>1583</v>
      </c>
    </row>
    <row r="337" spans="1:1">
      <c r="A337" s="87" t="s">
        <v>344</v>
      </c>
    </row>
    <row r="338" spans="1:1">
      <c r="A338" s="87" t="s">
        <v>919</v>
      </c>
    </row>
    <row r="339" spans="1:1">
      <c r="A339" s="87" t="s">
        <v>345</v>
      </c>
    </row>
    <row r="340" spans="1:1">
      <c r="A340" s="87" t="s">
        <v>1584</v>
      </c>
    </row>
    <row r="341" spans="1:1">
      <c r="A341" s="87" t="s">
        <v>1585</v>
      </c>
    </row>
    <row r="342" spans="1:1">
      <c r="A342" s="87" t="s">
        <v>1586</v>
      </c>
    </row>
    <row r="343" spans="1:1">
      <c r="A343" s="87" t="s">
        <v>1587</v>
      </c>
    </row>
    <row r="344" spans="1:1">
      <c r="A344" s="87" t="s">
        <v>346</v>
      </c>
    </row>
    <row r="345" spans="1:1">
      <c r="A345" s="87" t="s">
        <v>347</v>
      </c>
    </row>
    <row r="346" spans="1:1">
      <c r="A346" s="87" t="s">
        <v>348</v>
      </c>
    </row>
    <row r="347" spans="1:1">
      <c r="A347" s="87" t="s">
        <v>1588</v>
      </c>
    </row>
    <row r="348" spans="1:1">
      <c r="A348" s="87" t="s">
        <v>349</v>
      </c>
    </row>
    <row r="349" spans="1:1">
      <c r="A349" s="87" t="s">
        <v>1589</v>
      </c>
    </row>
    <row r="350" spans="1:1">
      <c r="A350" s="87" t="s">
        <v>350</v>
      </c>
    </row>
    <row r="351" spans="1:1">
      <c r="A351" s="87" t="s">
        <v>1590</v>
      </c>
    </row>
    <row r="352" spans="1:1">
      <c r="A352" s="87" t="s">
        <v>1591</v>
      </c>
    </row>
    <row r="353" spans="1:1">
      <c r="A353" s="87" t="s">
        <v>1592</v>
      </c>
    </row>
    <row r="354" spans="1:1">
      <c r="A354" s="87" t="s">
        <v>351</v>
      </c>
    </row>
    <row r="355" spans="1:1">
      <c r="A355" s="87" t="s">
        <v>921</v>
      </c>
    </row>
    <row r="356" spans="1:1">
      <c r="A356" s="87" t="s">
        <v>1593</v>
      </c>
    </row>
    <row r="357" spans="1:1">
      <c r="A357" s="87" t="s">
        <v>352</v>
      </c>
    </row>
    <row r="358" spans="1:1">
      <c r="A358" s="87" t="s">
        <v>354</v>
      </c>
    </row>
    <row r="359" spans="1:1">
      <c r="A359" s="87" t="s">
        <v>355</v>
      </c>
    </row>
    <row r="360" spans="1:1">
      <c r="A360" s="87" t="s">
        <v>1594</v>
      </c>
    </row>
    <row r="361" spans="1:1">
      <c r="A361" s="87" t="s">
        <v>1595</v>
      </c>
    </row>
    <row r="362" spans="1:1">
      <c r="A362" s="87" t="s">
        <v>356</v>
      </c>
    </row>
    <row r="363" spans="1:1">
      <c r="A363" s="87" t="s">
        <v>357</v>
      </c>
    </row>
    <row r="364" spans="1:1">
      <c r="A364" s="87" t="s">
        <v>358</v>
      </c>
    </row>
    <row r="365" spans="1:1">
      <c r="A365" s="87" t="s">
        <v>922</v>
      </c>
    </row>
    <row r="366" spans="1:1">
      <c r="A366" s="87" t="s">
        <v>1596</v>
      </c>
    </row>
    <row r="367" spans="1:1">
      <c r="A367" s="87" t="s">
        <v>359</v>
      </c>
    </row>
    <row r="368" spans="1:1">
      <c r="A368" s="87" t="s">
        <v>923</v>
      </c>
    </row>
    <row r="369" spans="1:1">
      <c r="A369" s="87" t="s">
        <v>1597</v>
      </c>
    </row>
    <row r="370" spans="1:1">
      <c r="A370" s="87" t="s">
        <v>1598</v>
      </c>
    </row>
    <row r="371" spans="1:1">
      <c r="A371" s="87" t="s">
        <v>360</v>
      </c>
    </row>
    <row r="372" spans="1:1">
      <c r="A372" s="87" t="s">
        <v>925</v>
      </c>
    </row>
    <row r="373" spans="1:1">
      <c r="A373" s="87" t="s">
        <v>926</v>
      </c>
    </row>
    <row r="374" spans="1:1">
      <c r="A374" s="87" t="s">
        <v>1599</v>
      </c>
    </row>
    <row r="375" spans="1:1">
      <c r="A375" s="87" t="s">
        <v>362</v>
      </c>
    </row>
    <row r="376" spans="1:1">
      <c r="A376" s="87" t="s">
        <v>363</v>
      </c>
    </row>
    <row r="377" spans="1:1">
      <c r="A377" s="87" t="s">
        <v>364</v>
      </c>
    </row>
    <row r="378" spans="1:1">
      <c r="A378" s="87" t="s">
        <v>927</v>
      </c>
    </row>
    <row r="379" spans="1:1">
      <c r="A379" s="87" t="s">
        <v>928</v>
      </c>
    </row>
    <row r="380" spans="1:1">
      <c r="A380" s="87" t="s">
        <v>931</v>
      </c>
    </row>
    <row r="381" spans="1:1">
      <c r="A381" s="87" t="s">
        <v>932</v>
      </c>
    </row>
    <row r="382" spans="1:1">
      <c r="A382" s="87" t="s">
        <v>365</v>
      </c>
    </row>
    <row r="383" spans="1:1">
      <c r="A383" s="87" t="s">
        <v>366</v>
      </c>
    </row>
    <row r="384" spans="1:1">
      <c r="A384" s="87" t="s">
        <v>367</v>
      </c>
    </row>
    <row r="385" spans="1:1">
      <c r="A385" s="87" t="s">
        <v>368</v>
      </c>
    </row>
    <row r="386" spans="1:1">
      <c r="A386" s="87" t="s">
        <v>369</v>
      </c>
    </row>
    <row r="387" spans="1:1">
      <c r="A387" s="87" t="s">
        <v>370</v>
      </c>
    </row>
    <row r="388" spans="1:1">
      <c r="A388" s="87" t="s">
        <v>1600</v>
      </c>
    </row>
    <row r="389" spans="1:1">
      <c r="A389" s="87" t="s">
        <v>1601</v>
      </c>
    </row>
    <row r="390" spans="1:1">
      <c r="A390" s="87" t="s">
        <v>1602</v>
      </c>
    </row>
    <row r="391" spans="1:1">
      <c r="A391" s="87" t="s">
        <v>1603</v>
      </c>
    </row>
    <row r="392" spans="1:1">
      <c r="A392" s="87" t="s">
        <v>933</v>
      </c>
    </row>
    <row r="393" spans="1:1">
      <c r="A393" s="87" t="s">
        <v>371</v>
      </c>
    </row>
    <row r="394" spans="1:1">
      <c r="A394" s="87" t="s">
        <v>1604</v>
      </c>
    </row>
    <row r="395" spans="1:1">
      <c r="A395" s="87" t="s">
        <v>1605</v>
      </c>
    </row>
    <row r="396" spans="1:1">
      <c r="A396" s="87" t="s">
        <v>372</v>
      </c>
    </row>
    <row r="397" spans="1:1">
      <c r="A397" s="87" t="s">
        <v>844</v>
      </c>
    </row>
    <row r="398" spans="1:1">
      <c r="A398" s="87" t="s">
        <v>374</v>
      </c>
    </row>
    <row r="399" spans="1:1">
      <c r="A399" s="87" t="s">
        <v>375</v>
      </c>
    </row>
    <row r="400" spans="1:1">
      <c r="A400" s="87" t="s">
        <v>1606</v>
      </c>
    </row>
    <row r="401" spans="1:1">
      <c r="A401" s="87" t="s">
        <v>376</v>
      </c>
    </row>
    <row r="402" spans="1:1">
      <c r="A402" s="87" t="s">
        <v>1607</v>
      </c>
    </row>
    <row r="403" spans="1:1">
      <c r="A403" s="87" t="s">
        <v>1608</v>
      </c>
    </row>
    <row r="404" spans="1:1">
      <c r="A404" s="87" t="s">
        <v>1609</v>
      </c>
    </row>
    <row r="405" spans="1:1">
      <c r="A405" s="87" t="s">
        <v>1610</v>
      </c>
    </row>
    <row r="406" spans="1:1">
      <c r="A406" s="87" t="s">
        <v>377</v>
      </c>
    </row>
    <row r="407" spans="1:1">
      <c r="A407" s="87" t="s">
        <v>1611</v>
      </c>
    </row>
    <row r="408" spans="1:1">
      <c r="A408" s="87" t="s">
        <v>378</v>
      </c>
    </row>
    <row r="409" spans="1:1">
      <c r="A409" s="87" t="s">
        <v>379</v>
      </c>
    </row>
    <row r="410" spans="1:1">
      <c r="A410" s="87" t="s">
        <v>380</v>
      </c>
    </row>
    <row r="411" spans="1:1">
      <c r="A411" s="87" t="s">
        <v>1612</v>
      </c>
    </row>
    <row r="412" spans="1:1">
      <c r="A412" s="87" t="s">
        <v>934</v>
      </c>
    </row>
    <row r="413" spans="1:1">
      <c r="A413" s="87" t="s">
        <v>1613</v>
      </c>
    </row>
    <row r="414" spans="1:1">
      <c r="A414" s="87" t="s">
        <v>935</v>
      </c>
    </row>
    <row r="415" spans="1:1">
      <c r="A415" s="87" t="s">
        <v>381</v>
      </c>
    </row>
    <row r="416" spans="1:1">
      <c r="A416" s="87" t="s">
        <v>1614</v>
      </c>
    </row>
    <row r="417" spans="1:1">
      <c r="A417" s="87" t="s">
        <v>1615</v>
      </c>
    </row>
    <row r="418" spans="1:1">
      <c r="A418" s="87" t="s">
        <v>1616</v>
      </c>
    </row>
    <row r="419" spans="1:1">
      <c r="A419" s="87" t="s">
        <v>382</v>
      </c>
    </row>
    <row r="420" spans="1:1">
      <c r="A420" s="87" t="s">
        <v>1617</v>
      </c>
    </row>
    <row r="421" spans="1:1">
      <c r="A421" s="87" t="s">
        <v>384</v>
      </c>
    </row>
    <row r="422" spans="1:1">
      <c r="A422" s="87" t="s">
        <v>385</v>
      </c>
    </row>
    <row r="423" spans="1:1">
      <c r="A423" s="87" t="s">
        <v>1618</v>
      </c>
    </row>
    <row r="424" spans="1:1">
      <c r="A424" s="87" t="s">
        <v>936</v>
      </c>
    </row>
    <row r="425" spans="1:1">
      <c r="A425" s="87" t="s">
        <v>386</v>
      </c>
    </row>
    <row r="426" spans="1:1">
      <c r="A426" s="87" t="s">
        <v>387</v>
      </c>
    </row>
    <row r="427" spans="1:1">
      <c r="A427" s="87" t="s">
        <v>1619</v>
      </c>
    </row>
    <row r="428" spans="1:1">
      <c r="A428" s="87" t="s">
        <v>1620</v>
      </c>
    </row>
    <row r="429" spans="1:1">
      <c r="A429" s="87" t="s">
        <v>388</v>
      </c>
    </row>
    <row r="430" spans="1:1">
      <c r="A430" s="87" t="s">
        <v>938</v>
      </c>
    </row>
    <row r="431" spans="1:1">
      <c r="A431" s="87" t="s">
        <v>1621</v>
      </c>
    </row>
    <row r="432" spans="1:1">
      <c r="A432" s="87" t="s">
        <v>389</v>
      </c>
    </row>
    <row r="433" spans="1:1">
      <c r="A433" s="87" t="s">
        <v>1622</v>
      </c>
    </row>
    <row r="434" spans="1:1">
      <c r="A434" s="87" t="s">
        <v>390</v>
      </c>
    </row>
    <row r="435" spans="1:1">
      <c r="A435" s="87" t="s">
        <v>391</v>
      </c>
    </row>
    <row r="436" spans="1:1">
      <c r="A436" s="87" t="s">
        <v>941</v>
      </c>
    </row>
    <row r="437" spans="1:1">
      <c r="A437" s="87" t="s">
        <v>392</v>
      </c>
    </row>
    <row r="438" spans="1:1">
      <c r="A438" s="87" t="s">
        <v>942</v>
      </c>
    </row>
    <row r="439" spans="1:1">
      <c r="A439" s="87" t="s">
        <v>943</v>
      </c>
    </row>
    <row r="440" spans="1:1">
      <c r="A440" s="87" t="s">
        <v>944</v>
      </c>
    </row>
    <row r="441" spans="1:1">
      <c r="A441" s="87" t="s">
        <v>393</v>
      </c>
    </row>
    <row r="442" spans="1:1">
      <c r="A442" s="87" t="s">
        <v>394</v>
      </c>
    </row>
    <row r="443" spans="1:1">
      <c r="A443" s="87" t="s">
        <v>1623</v>
      </c>
    </row>
    <row r="444" spans="1:1">
      <c r="A444" s="87" t="s">
        <v>395</v>
      </c>
    </row>
    <row r="445" spans="1:1">
      <c r="A445" s="87" t="s">
        <v>396</v>
      </c>
    </row>
    <row r="446" spans="1:1">
      <c r="A446" s="87" t="s">
        <v>1624</v>
      </c>
    </row>
    <row r="447" spans="1:1">
      <c r="A447" s="87" t="s">
        <v>1625</v>
      </c>
    </row>
    <row r="448" spans="1:1">
      <c r="A448" s="87" t="s">
        <v>1626</v>
      </c>
    </row>
    <row r="449" spans="1:1">
      <c r="A449" s="87" t="s">
        <v>1627</v>
      </c>
    </row>
    <row r="450" spans="1:1">
      <c r="A450" s="87" t="s">
        <v>397</v>
      </c>
    </row>
    <row r="451" spans="1:1">
      <c r="A451" s="87" t="s">
        <v>398</v>
      </c>
    </row>
    <row r="452" spans="1:1">
      <c r="A452" s="87" t="s">
        <v>946</v>
      </c>
    </row>
    <row r="453" spans="1:1">
      <c r="A453" s="87" t="s">
        <v>1628</v>
      </c>
    </row>
    <row r="454" spans="1:1">
      <c r="A454" s="87" t="s">
        <v>399</v>
      </c>
    </row>
    <row r="455" spans="1:1">
      <c r="A455" s="87" t="s">
        <v>947</v>
      </c>
    </row>
    <row r="456" spans="1:1">
      <c r="A456" s="87" t="s">
        <v>400</v>
      </c>
    </row>
    <row r="457" spans="1:1">
      <c r="A457" s="87" t="s">
        <v>401</v>
      </c>
    </row>
    <row r="458" spans="1:1">
      <c r="A458" s="87" t="s">
        <v>402</v>
      </c>
    </row>
    <row r="459" spans="1:1">
      <c r="A459" s="87" t="s">
        <v>403</v>
      </c>
    </row>
    <row r="460" spans="1:1">
      <c r="A460" s="87" t="s">
        <v>1629</v>
      </c>
    </row>
    <row r="461" spans="1:1">
      <c r="A461" s="87" t="s">
        <v>404</v>
      </c>
    </row>
    <row r="462" spans="1:1">
      <c r="A462" s="87" t="s">
        <v>405</v>
      </c>
    </row>
    <row r="463" spans="1:1">
      <c r="A463" s="87" t="s">
        <v>406</v>
      </c>
    </row>
    <row r="464" spans="1:1">
      <c r="A464" s="87" t="s">
        <v>948</v>
      </c>
    </row>
    <row r="465" spans="1:1">
      <c r="A465" s="87" t="s">
        <v>1630</v>
      </c>
    </row>
    <row r="466" spans="1:1">
      <c r="A466" s="87" t="s">
        <v>1631</v>
      </c>
    </row>
    <row r="467" spans="1:1">
      <c r="A467" s="87" t="s">
        <v>1632</v>
      </c>
    </row>
    <row r="468" spans="1:1">
      <c r="A468" s="87" t="s">
        <v>1633</v>
      </c>
    </row>
    <row r="469" spans="1:1">
      <c r="A469" s="87" t="s">
        <v>407</v>
      </c>
    </row>
    <row r="470" spans="1:1">
      <c r="A470" s="87" t="s">
        <v>1634</v>
      </c>
    </row>
    <row r="471" spans="1:1">
      <c r="A471" s="87" t="s">
        <v>408</v>
      </c>
    </row>
    <row r="472" spans="1:1">
      <c r="A472" s="87" t="s">
        <v>409</v>
      </c>
    </row>
    <row r="473" spans="1:1">
      <c r="A473" s="87" t="s">
        <v>949</v>
      </c>
    </row>
    <row r="474" spans="1:1">
      <c r="A474" s="87" t="s">
        <v>950</v>
      </c>
    </row>
    <row r="475" spans="1:1">
      <c r="A475" s="87" t="s">
        <v>410</v>
      </c>
    </row>
    <row r="476" spans="1:1">
      <c r="A476" s="87" t="s">
        <v>411</v>
      </c>
    </row>
    <row r="477" spans="1:1">
      <c r="A477" s="87" t="s">
        <v>1635</v>
      </c>
    </row>
    <row r="478" spans="1:1">
      <c r="A478" s="87" t="s">
        <v>412</v>
      </c>
    </row>
    <row r="479" spans="1:1">
      <c r="A479" s="87" t="s">
        <v>413</v>
      </c>
    </row>
    <row r="480" spans="1:1">
      <c r="A480" s="87" t="s">
        <v>1636</v>
      </c>
    </row>
    <row r="481" spans="1:1">
      <c r="A481" s="87" t="s">
        <v>414</v>
      </c>
    </row>
    <row r="482" spans="1:1">
      <c r="A482" s="87" t="s">
        <v>415</v>
      </c>
    </row>
    <row r="483" spans="1:1">
      <c r="A483" s="87" t="s">
        <v>954</v>
      </c>
    </row>
    <row r="484" spans="1:1">
      <c r="A484" s="87" t="s">
        <v>955</v>
      </c>
    </row>
    <row r="485" spans="1:1">
      <c r="A485" s="87" t="s">
        <v>416</v>
      </c>
    </row>
    <row r="486" spans="1:1">
      <c r="A486" s="87" t="s">
        <v>1637</v>
      </c>
    </row>
    <row r="487" spans="1:1">
      <c r="A487" s="87" t="s">
        <v>956</v>
      </c>
    </row>
    <row r="488" spans="1:1">
      <c r="A488" s="87" t="s">
        <v>417</v>
      </c>
    </row>
    <row r="489" spans="1:1">
      <c r="A489" s="87" t="s">
        <v>418</v>
      </c>
    </row>
    <row r="490" spans="1:1">
      <c r="A490" s="87" t="s">
        <v>419</v>
      </c>
    </row>
    <row r="491" spans="1:1">
      <c r="A491" s="87" t="s">
        <v>1638</v>
      </c>
    </row>
    <row r="492" spans="1:1">
      <c r="A492" s="87" t="s">
        <v>1639</v>
      </c>
    </row>
    <row r="493" spans="1:1">
      <c r="A493" s="87" t="s">
        <v>957</v>
      </c>
    </row>
    <row r="494" spans="1:1">
      <c r="A494" s="87" t="s">
        <v>420</v>
      </c>
    </row>
    <row r="495" spans="1:1">
      <c r="A495" s="87" t="s">
        <v>421</v>
      </c>
    </row>
    <row r="496" spans="1:1">
      <c r="A496" s="87" t="s">
        <v>422</v>
      </c>
    </row>
    <row r="497" spans="1:1">
      <c r="A497" s="87" t="s">
        <v>423</v>
      </c>
    </row>
    <row r="498" spans="1:1">
      <c r="A498" s="87" t="s">
        <v>424</v>
      </c>
    </row>
    <row r="499" spans="1:1">
      <c r="A499" s="87" t="s">
        <v>1640</v>
      </c>
    </row>
    <row r="500" spans="1:1">
      <c r="A500" s="87" t="s">
        <v>1641</v>
      </c>
    </row>
    <row r="501" spans="1:1">
      <c r="A501" s="87" t="s">
        <v>1642</v>
      </c>
    </row>
    <row r="502" spans="1:1">
      <c r="A502" s="87" t="s">
        <v>1643</v>
      </c>
    </row>
    <row r="503" spans="1:1">
      <c r="A503" s="87" t="s">
        <v>1644</v>
      </c>
    </row>
    <row r="504" spans="1:1">
      <c r="A504" s="87" t="s">
        <v>1645</v>
      </c>
    </row>
    <row r="505" spans="1:1">
      <c r="A505" s="87" t="s">
        <v>1646</v>
      </c>
    </row>
    <row r="506" spans="1:1">
      <c r="A506" s="87" t="s">
        <v>426</v>
      </c>
    </row>
    <row r="507" spans="1:1">
      <c r="A507" s="87" t="s">
        <v>427</v>
      </c>
    </row>
    <row r="508" spans="1:1">
      <c r="A508" s="87" t="s">
        <v>428</v>
      </c>
    </row>
    <row r="509" spans="1:1">
      <c r="A509" s="87" t="s">
        <v>1647</v>
      </c>
    </row>
    <row r="510" spans="1:1">
      <c r="A510" s="87" t="s">
        <v>1648</v>
      </c>
    </row>
    <row r="511" spans="1:1">
      <c r="A511" s="87" t="s">
        <v>429</v>
      </c>
    </row>
    <row r="512" spans="1:1">
      <c r="A512" s="87" t="s">
        <v>1649</v>
      </c>
    </row>
    <row r="513" spans="1:1">
      <c r="A513" s="87" t="s">
        <v>430</v>
      </c>
    </row>
    <row r="514" spans="1:1">
      <c r="A514" s="87" t="s">
        <v>432</v>
      </c>
    </row>
    <row r="515" spans="1:1">
      <c r="A515" s="87" t="s">
        <v>435</v>
      </c>
    </row>
    <row r="516" spans="1:1">
      <c r="A516" s="87" t="s">
        <v>1650</v>
      </c>
    </row>
    <row r="517" spans="1:1">
      <c r="A517" s="87" t="s">
        <v>961</v>
      </c>
    </row>
    <row r="518" spans="1:1">
      <c r="A518" s="87" t="s">
        <v>436</v>
      </c>
    </row>
    <row r="519" spans="1:1">
      <c r="A519" s="87" t="s">
        <v>437</v>
      </c>
    </row>
    <row r="520" spans="1:1">
      <c r="A520" s="87" t="s">
        <v>1651</v>
      </c>
    </row>
    <row r="521" spans="1:1">
      <c r="A521" s="87" t="s">
        <v>962</v>
      </c>
    </row>
    <row r="522" spans="1:1">
      <c r="A522" s="87" t="s">
        <v>963</v>
      </c>
    </row>
    <row r="523" spans="1:1">
      <c r="A523" s="87" t="s">
        <v>1652</v>
      </c>
    </row>
    <row r="524" spans="1:1">
      <c r="A524" s="87" t="s">
        <v>964</v>
      </c>
    </row>
    <row r="525" spans="1:1">
      <c r="A525" s="87" t="s">
        <v>965</v>
      </c>
    </row>
    <row r="526" spans="1:1">
      <c r="A526" s="87" t="s">
        <v>1653</v>
      </c>
    </row>
    <row r="527" spans="1:1">
      <c r="A527" s="87" t="s">
        <v>1654</v>
      </c>
    </row>
    <row r="528" spans="1:1">
      <c r="A528" s="87" t="s">
        <v>439</v>
      </c>
    </row>
    <row r="529" spans="1:1">
      <c r="A529" s="87" t="s">
        <v>440</v>
      </c>
    </row>
    <row r="530" spans="1:1">
      <c r="A530" s="87" t="s">
        <v>1655</v>
      </c>
    </row>
    <row r="531" spans="1:1">
      <c r="A531" s="87" t="s">
        <v>441</v>
      </c>
    </row>
    <row r="532" spans="1:1">
      <c r="A532" s="87" t="s">
        <v>1656</v>
      </c>
    </row>
    <row r="533" spans="1:1">
      <c r="A533" s="87" t="s">
        <v>442</v>
      </c>
    </row>
    <row r="534" spans="1:1">
      <c r="A534" s="87" t="s">
        <v>1657</v>
      </c>
    </row>
    <row r="535" spans="1:1">
      <c r="A535" s="87" t="s">
        <v>443</v>
      </c>
    </row>
    <row r="536" spans="1:1">
      <c r="A536" s="87" t="s">
        <v>444</v>
      </c>
    </row>
    <row r="537" spans="1:1">
      <c r="A537" s="87" t="s">
        <v>445</v>
      </c>
    </row>
    <row r="538" spans="1:1">
      <c r="A538" s="87" t="s">
        <v>1658</v>
      </c>
    </row>
    <row r="539" spans="1:1">
      <c r="A539" s="87" t="s">
        <v>1659</v>
      </c>
    </row>
    <row r="540" spans="1:1">
      <c r="A540" s="87" t="s">
        <v>446</v>
      </c>
    </row>
    <row r="541" spans="1:1">
      <c r="A541" s="87" t="s">
        <v>447</v>
      </c>
    </row>
    <row r="542" spans="1:1">
      <c r="A542" s="87" t="s">
        <v>448</v>
      </c>
    </row>
    <row r="543" spans="1:1">
      <c r="A543" s="87" t="s">
        <v>1660</v>
      </c>
    </row>
    <row r="544" spans="1:1">
      <c r="A544" s="87" t="s">
        <v>449</v>
      </c>
    </row>
    <row r="545" spans="1:1">
      <c r="A545" s="87" t="s">
        <v>966</v>
      </c>
    </row>
    <row r="546" spans="1:1">
      <c r="A546" s="87" t="s">
        <v>968</v>
      </c>
    </row>
    <row r="547" spans="1:1">
      <c r="A547" s="87" t="s">
        <v>450</v>
      </c>
    </row>
    <row r="548" spans="1:1">
      <c r="A548" s="87" t="s">
        <v>451</v>
      </c>
    </row>
    <row r="549" spans="1:1">
      <c r="A549" s="87" t="s">
        <v>969</v>
      </c>
    </row>
    <row r="550" spans="1:1">
      <c r="A550" s="87" t="s">
        <v>1661</v>
      </c>
    </row>
    <row r="551" spans="1:1">
      <c r="A551" s="87" t="s">
        <v>454</v>
      </c>
    </row>
    <row r="552" spans="1:1">
      <c r="A552" s="87" t="s">
        <v>1662</v>
      </c>
    </row>
    <row r="553" spans="1:1">
      <c r="A553" s="87" t="s">
        <v>1663</v>
      </c>
    </row>
    <row r="554" spans="1:1">
      <c r="A554" s="87" t="s">
        <v>1664</v>
      </c>
    </row>
    <row r="555" spans="1:1">
      <c r="A555" s="87" t="s">
        <v>457</v>
      </c>
    </row>
    <row r="556" spans="1:1">
      <c r="A556" s="87" t="s">
        <v>970</v>
      </c>
    </row>
    <row r="557" spans="1:1">
      <c r="A557" s="87" t="s">
        <v>458</v>
      </c>
    </row>
    <row r="558" spans="1:1">
      <c r="A558" s="87" t="s">
        <v>971</v>
      </c>
    </row>
    <row r="559" spans="1:1">
      <c r="A559" s="87" t="s">
        <v>1665</v>
      </c>
    </row>
    <row r="560" spans="1:1">
      <c r="A560" s="87" t="s">
        <v>459</v>
      </c>
    </row>
    <row r="561" spans="1:1">
      <c r="A561" s="87" t="s">
        <v>460</v>
      </c>
    </row>
    <row r="562" spans="1:1">
      <c r="A562" s="87" t="s">
        <v>461</v>
      </c>
    </row>
    <row r="563" spans="1:1">
      <c r="A563" s="87" t="s">
        <v>462</v>
      </c>
    </row>
    <row r="564" spans="1:1">
      <c r="A564" s="87" t="s">
        <v>463</v>
      </c>
    </row>
    <row r="565" spans="1:1">
      <c r="A565" s="87" t="s">
        <v>464</v>
      </c>
    </row>
    <row r="566" spans="1:1">
      <c r="A566" s="87" t="s">
        <v>1666</v>
      </c>
    </row>
    <row r="567" spans="1:1">
      <c r="A567" s="87" t="s">
        <v>972</v>
      </c>
    </row>
    <row r="568" spans="1:1">
      <c r="A568" s="87" t="s">
        <v>1667</v>
      </c>
    </row>
    <row r="569" spans="1:1">
      <c r="A569" s="87" t="s">
        <v>1668</v>
      </c>
    </row>
    <row r="570" spans="1:1">
      <c r="A570" s="87" t="s">
        <v>1669</v>
      </c>
    </row>
    <row r="571" spans="1:1">
      <c r="A571" s="87" t="s">
        <v>1670</v>
      </c>
    </row>
    <row r="572" spans="1:1">
      <c r="A572" s="87" t="s">
        <v>1671</v>
      </c>
    </row>
    <row r="573" spans="1:1">
      <c r="A573" s="87" t="s">
        <v>467</v>
      </c>
    </row>
    <row r="574" spans="1:1">
      <c r="A574" s="87" t="s">
        <v>468</v>
      </c>
    </row>
    <row r="575" spans="1:1">
      <c r="A575" s="87" t="s">
        <v>973</v>
      </c>
    </row>
    <row r="576" spans="1:1">
      <c r="A576" s="87" t="s">
        <v>469</v>
      </c>
    </row>
    <row r="577" spans="1:1">
      <c r="A577" s="87" t="s">
        <v>470</v>
      </c>
    </row>
    <row r="578" spans="1:1">
      <c r="A578" s="87" t="s">
        <v>471</v>
      </c>
    </row>
    <row r="579" spans="1:1">
      <c r="A579" s="87" t="s">
        <v>472</v>
      </c>
    </row>
    <row r="580" spans="1:1">
      <c r="A580" s="87" t="s">
        <v>474</v>
      </c>
    </row>
    <row r="581" spans="1:1">
      <c r="A581" s="87" t="s">
        <v>475</v>
      </c>
    </row>
    <row r="582" spans="1:1">
      <c r="A582" s="87" t="s">
        <v>476</v>
      </c>
    </row>
    <row r="583" spans="1:1">
      <c r="A583" s="87" t="s">
        <v>1672</v>
      </c>
    </row>
    <row r="584" spans="1:1">
      <c r="A584" s="87" t="s">
        <v>1673</v>
      </c>
    </row>
    <row r="585" spans="1:1">
      <c r="A585" s="87" t="s">
        <v>1674</v>
      </c>
    </row>
    <row r="586" spans="1:1">
      <c r="A586" s="87" t="s">
        <v>1675</v>
      </c>
    </row>
    <row r="587" spans="1:1">
      <c r="A587" s="87" t="s">
        <v>1676</v>
      </c>
    </row>
    <row r="588" spans="1:1">
      <c r="A588" s="87" t="s">
        <v>1677</v>
      </c>
    </row>
    <row r="589" spans="1:1">
      <c r="A589" s="87" t="s">
        <v>1678</v>
      </c>
    </row>
    <row r="590" spans="1:1">
      <c r="A590" s="87" t="s">
        <v>1679</v>
      </c>
    </row>
    <row r="591" spans="1:1">
      <c r="A591" s="87" t="s">
        <v>1680</v>
      </c>
    </row>
    <row r="592" spans="1:1">
      <c r="A592" s="87" t="s">
        <v>477</v>
      </c>
    </row>
    <row r="593" spans="1:1">
      <c r="A593" s="87" t="s">
        <v>478</v>
      </c>
    </row>
    <row r="594" spans="1:1">
      <c r="A594" s="87" t="s">
        <v>974</v>
      </c>
    </row>
    <row r="595" spans="1:1">
      <c r="A595" s="87" t="s">
        <v>479</v>
      </c>
    </row>
    <row r="596" spans="1:1">
      <c r="A596" s="87" t="s">
        <v>976</v>
      </c>
    </row>
    <row r="597" spans="1:1">
      <c r="A597" s="87" t="s">
        <v>480</v>
      </c>
    </row>
    <row r="598" spans="1:1">
      <c r="A598" s="87" t="s">
        <v>482</v>
      </c>
    </row>
    <row r="599" spans="1:1">
      <c r="A599" s="87" t="s">
        <v>1681</v>
      </c>
    </row>
    <row r="600" spans="1:1">
      <c r="A600" s="87" t="s">
        <v>483</v>
      </c>
    </row>
    <row r="601" spans="1:1">
      <c r="A601" s="87" t="s">
        <v>1682</v>
      </c>
    </row>
    <row r="602" spans="1:1">
      <c r="A602" s="87" t="s">
        <v>1683</v>
      </c>
    </row>
    <row r="603" spans="1:1">
      <c r="A603" s="87" t="s">
        <v>1684</v>
      </c>
    </row>
    <row r="604" spans="1:1">
      <c r="A604" s="87" t="s">
        <v>1685</v>
      </c>
    </row>
    <row r="605" spans="1:1">
      <c r="A605" s="87" t="s">
        <v>484</v>
      </c>
    </row>
    <row r="606" spans="1:1">
      <c r="A606" s="87" t="s">
        <v>485</v>
      </c>
    </row>
    <row r="607" spans="1:1">
      <c r="A607" s="87" t="s">
        <v>977</v>
      </c>
    </row>
    <row r="608" spans="1:1">
      <c r="A608" s="87" t="s">
        <v>1686</v>
      </c>
    </row>
    <row r="609" spans="1:1">
      <c r="A609" s="87" t="s">
        <v>979</v>
      </c>
    </row>
    <row r="610" spans="1:1">
      <c r="A610" s="87" t="s">
        <v>486</v>
      </c>
    </row>
    <row r="611" spans="1:1">
      <c r="A611" s="87" t="s">
        <v>1687</v>
      </c>
    </row>
    <row r="612" spans="1:1">
      <c r="A612" s="87" t="s">
        <v>981</v>
      </c>
    </row>
    <row r="613" spans="1:1">
      <c r="A613" s="87" t="s">
        <v>487</v>
      </c>
    </row>
    <row r="614" spans="1:1">
      <c r="A614" s="87" t="s">
        <v>1688</v>
      </c>
    </row>
    <row r="615" spans="1:1">
      <c r="A615" s="87" t="s">
        <v>982</v>
      </c>
    </row>
    <row r="616" spans="1:1">
      <c r="A616" s="87" t="s">
        <v>488</v>
      </c>
    </row>
    <row r="617" spans="1:1">
      <c r="A617" s="87" t="s">
        <v>1689</v>
      </c>
    </row>
    <row r="618" spans="1:1">
      <c r="A618" s="87" t="s">
        <v>489</v>
      </c>
    </row>
    <row r="619" spans="1:1">
      <c r="A619" s="87" t="s">
        <v>490</v>
      </c>
    </row>
    <row r="620" spans="1:1">
      <c r="A620" s="87" t="s">
        <v>491</v>
      </c>
    </row>
    <row r="621" spans="1:1">
      <c r="A621" s="87" t="s">
        <v>1690</v>
      </c>
    </row>
    <row r="622" spans="1:1">
      <c r="A622" s="87" t="s">
        <v>492</v>
      </c>
    </row>
    <row r="623" spans="1:1">
      <c r="A623" s="87" t="s">
        <v>1691</v>
      </c>
    </row>
    <row r="624" spans="1:1">
      <c r="A624" s="87" t="s">
        <v>493</v>
      </c>
    </row>
    <row r="625" spans="1:1">
      <c r="A625" s="87" t="s">
        <v>494</v>
      </c>
    </row>
    <row r="626" spans="1:1">
      <c r="A626" s="87" t="s">
        <v>983</v>
      </c>
    </row>
    <row r="627" spans="1:1">
      <c r="A627" s="87" t="s">
        <v>495</v>
      </c>
    </row>
    <row r="628" spans="1:1">
      <c r="A628" s="87" t="s">
        <v>496</v>
      </c>
    </row>
    <row r="629" spans="1:1">
      <c r="A629" s="87" t="s">
        <v>497</v>
      </c>
    </row>
    <row r="630" spans="1:1">
      <c r="A630" s="87" t="s">
        <v>985</v>
      </c>
    </row>
    <row r="631" spans="1:1">
      <c r="A631" s="87" t="s">
        <v>498</v>
      </c>
    </row>
    <row r="632" spans="1:1">
      <c r="A632" s="87" t="s">
        <v>499</v>
      </c>
    </row>
    <row r="633" spans="1:1">
      <c r="A633" s="87" t="s">
        <v>500</v>
      </c>
    </row>
    <row r="634" spans="1:1">
      <c r="A634" s="87" t="s">
        <v>1692</v>
      </c>
    </row>
    <row r="635" spans="1:1">
      <c r="A635" s="87" t="s">
        <v>501</v>
      </c>
    </row>
    <row r="636" spans="1:1">
      <c r="A636" s="87" t="s">
        <v>1693</v>
      </c>
    </row>
    <row r="637" spans="1:1">
      <c r="A637" s="87" t="s">
        <v>502</v>
      </c>
    </row>
    <row r="638" spans="1:1">
      <c r="A638" s="87" t="s">
        <v>503</v>
      </c>
    </row>
    <row r="639" spans="1:1">
      <c r="A639" s="87" t="s">
        <v>504</v>
      </c>
    </row>
    <row r="640" spans="1:1">
      <c r="A640" s="87" t="s">
        <v>505</v>
      </c>
    </row>
    <row r="641" spans="1:1">
      <c r="A641" s="87" t="s">
        <v>1694</v>
      </c>
    </row>
    <row r="642" spans="1:1">
      <c r="A642" s="87" t="s">
        <v>986</v>
      </c>
    </row>
    <row r="643" spans="1:1">
      <c r="A643" s="87" t="s">
        <v>987</v>
      </c>
    </row>
    <row r="644" spans="1:1">
      <c r="A644" s="87" t="s">
        <v>988</v>
      </c>
    </row>
    <row r="645" spans="1:1">
      <c r="A645" s="87" t="s">
        <v>507</v>
      </c>
    </row>
    <row r="646" spans="1:1">
      <c r="A646" s="87" t="s">
        <v>1695</v>
      </c>
    </row>
    <row r="647" spans="1:1">
      <c r="A647" s="87" t="s">
        <v>508</v>
      </c>
    </row>
    <row r="648" spans="1:1">
      <c r="A648" s="87" t="s">
        <v>509</v>
      </c>
    </row>
    <row r="649" spans="1:1">
      <c r="A649" s="87" t="s">
        <v>1696</v>
      </c>
    </row>
    <row r="650" spans="1:1">
      <c r="A650" s="87" t="s">
        <v>510</v>
      </c>
    </row>
    <row r="651" spans="1:1">
      <c r="A651" s="87" t="s">
        <v>989</v>
      </c>
    </row>
    <row r="652" spans="1:1">
      <c r="A652" s="87" t="s">
        <v>511</v>
      </c>
    </row>
    <row r="653" spans="1:1">
      <c r="A653" s="87" t="s">
        <v>1697</v>
      </c>
    </row>
    <row r="654" spans="1:1">
      <c r="A654" s="87" t="s">
        <v>512</v>
      </c>
    </row>
    <row r="655" spans="1:1">
      <c r="A655" s="87" t="s">
        <v>1698</v>
      </c>
    </row>
    <row r="656" spans="1:1">
      <c r="A656" s="87" t="s">
        <v>1699</v>
      </c>
    </row>
    <row r="657" spans="1:1">
      <c r="A657" s="87" t="s">
        <v>990</v>
      </c>
    </row>
    <row r="658" spans="1:1">
      <c r="A658" s="87" t="s">
        <v>513</v>
      </c>
    </row>
    <row r="659" spans="1:1">
      <c r="A659" s="87" t="s">
        <v>1700</v>
      </c>
    </row>
    <row r="660" spans="1:1">
      <c r="A660" s="87" t="s">
        <v>1701</v>
      </c>
    </row>
    <row r="661" spans="1:1">
      <c r="A661" s="87" t="s">
        <v>1702</v>
      </c>
    </row>
    <row r="662" spans="1:1">
      <c r="A662" s="87" t="s">
        <v>1703</v>
      </c>
    </row>
    <row r="663" spans="1:1">
      <c r="A663" s="87" t="s">
        <v>1704</v>
      </c>
    </row>
    <row r="664" spans="1:1">
      <c r="A664" s="87" t="s">
        <v>1705</v>
      </c>
    </row>
    <row r="665" spans="1:1">
      <c r="A665" s="87" t="s">
        <v>1706</v>
      </c>
    </row>
    <row r="666" spans="1:1">
      <c r="A666" s="87" t="s">
        <v>514</v>
      </c>
    </row>
    <row r="667" spans="1:1">
      <c r="A667" s="87" t="s">
        <v>1707</v>
      </c>
    </row>
    <row r="668" spans="1:1">
      <c r="A668" s="87" t="s">
        <v>515</v>
      </c>
    </row>
    <row r="669" spans="1:1">
      <c r="A669" s="87" t="s">
        <v>991</v>
      </c>
    </row>
    <row r="670" spans="1:1">
      <c r="A670" s="87" t="s">
        <v>992</v>
      </c>
    </row>
    <row r="671" spans="1:1">
      <c r="A671" s="87" t="s">
        <v>1708</v>
      </c>
    </row>
    <row r="672" spans="1:1">
      <c r="A672" s="87" t="s">
        <v>1709</v>
      </c>
    </row>
    <row r="673" spans="1:1">
      <c r="A673" s="87" t="s">
        <v>516</v>
      </c>
    </row>
    <row r="674" spans="1:1">
      <c r="A674" s="87" t="s">
        <v>517</v>
      </c>
    </row>
    <row r="675" spans="1:1">
      <c r="A675" s="87" t="s">
        <v>518</v>
      </c>
    </row>
    <row r="676" spans="1:1">
      <c r="A676" s="87" t="s">
        <v>519</v>
      </c>
    </row>
    <row r="677" spans="1:1">
      <c r="A677" s="87" t="s">
        <v>1710</v>
      </c>
    </row>
    <row r="678" spans="1:1">
      <c r="A678" s="87" t="s">
        <v>520</v>
      </c>
    </row>
    <row r="679" spans="1:1">
      <c r="A679" s="87" t="s">
        <v>1711</v>
      </c>
    </row>
    <row r="680" spans="1:1">
      <c r="A680" s="87" t="s">
        <v>521</v>
      </c>
    </row>
    <row r="681" spans="1:1">
      <c r="A681" s="87" t="s">
        <v>995</v>
      </c>
    </row>
    <row r="682" spans="1:1">
      <c r="A682" s="87" t="s">
        <v>522</v>
      </c>
    </row>
    <row r="683" spans="1:1">
      <c r="A683" s="87" t="s">
        <v>1712</v>
      </c>
    </row>
    <row r="684" spans="1:1">
      <c r="A684" s="87" t="s">
        <v>1713</v>
      </c>
    </row>
    <row r="685" spans="1:1">
      <c r="A685" s="87" t="s">
        <v>1714</v>
      </c>
    </row>
    <row r="686" spans="1:1">
      <c r="A686" s="87" t="s">
        <v>1715</v>
      </c>
    </row>
    <row r="687" spans="1:1">
      <c r="A687" s="87" t="s">
        <v>1716</v>
      </c>
    </row>
    <row r="688" spans="1:1">
      <c r="A688" s="87" t="s">
        <v>1717</v>
      </c>
    </row>
    <row r="689" spans="1:1">
      <c r="A689" s="87" t="s">
        <v>1718</v>
      </c>
    </row>
    <row r="690" spans="1:1">
      <c r="A690" s="87" t="s">
        <v>1719</v>
      </c>
    </row>
    <row r="691" spans="1:1">
      <c r="A691" s="87" t="s">
        <v>1720</v>
      </c>
    </row>
    <row r="692" spans="1:1">
      <c r="A692" s="87" t="s">
        <v>996</v>
      </c>
    </row>
    <row r="693" spans="1:1">
      <c r="A693" s="87" t="s">
        <v>997</v>
      </c>
    </row>
    <row r="694" spans="1:1">
      <c r="A694" s="87" t="s">
        <v>523</v>
      </c>
    </row>
    <row r="695" spans="1:1">
      <c r="A695" s="87" t="s">
        <v>1721</v>
      </c>
    </row>
    <row r="696" spans="1:1">
      <c r="A696" s="87" t="s">
        <v>999</v>
      </c>
    </row>
    <row r="697" spans="1:1">
      <c r="A697" s="87" t="s">
        <v>1722</v>
      </c>
    </row>
    <row r="698" spans="1:1">
      <c r="A698" s="87" t="s">
        <v>1723</v>
      </c>
    </row>
    <row r="699" spans="1:1">
      <c r="A699" s="87" t="s">
        <v>1724</v>
      </c>
    </row>
    <row r="700" spans="1:1">
      <c r="A700" s="87" t="s">
        <v>1000</v>
      </c>
    </row>
    <row r="701" spans="1:1">
      <c r="A701" s="87" t="s">
        <v>524</v>
      </c>
    </row>
    <row r="702" spans="1:1">
      <c r="A702" s="87" t="s">
        <v>525</v>
      </c>
    </row>
    <row r="703" spans="1:1">
      <c r="A703" s="87" t="s">
        <v>1001</v>
      </c>
    </row>
    <row r="704" spans="1:1">
      <c r="A704" s="87" t="s">
        <v>526</v>
      </c>
    </row>
    <row r="705" spans="1:1">
      <c r="A705" s="87" t="s">
        <v>528</v>
      </c>
    </row>
    <row r="706" spans="1:1">
      <c r="A706" s="87" t="s">
        <v>529</v>
      </c>
    </row>
    <row r="707" spans="1:1">
      <c r="A707" s="87" t="s">
        <v>1725</v>
      </c>
    </row>
    <row r="708" spans="1:1">
      <c r="A708" s="87" t="s">
        <v>1004</v>
      </c>
    </row>
    <row r="709" spans="1:1">
      <c r="A709" s="87" t="s">
        <v>1726</v>
      </c>
    </row>
    <row r="710" spans="1:1">
      <c r="A710" s="87" t="s">
        <v>1727</v>
      </c>
    </row>
    <row r="711" spans="1:1">
      <c r="A711" s="87" t="s">
        <v>1728</v>
      </c>
    </row>
    <row r="712" spans="1:1">
      <c r="A712" s="87" t="s">
        <v>1729</v>
      </c>
    </row>
    <row r="713" spans="1:1">
      <c r="A713" s="87" t="s">
        <v>531</v>
      </c>
    </row>
    <row r="714" spans="1:1">
      <c r="A714" s="87" t="s">
        <v>1730</v>
      </c>
    </row>
    <row r="715" spans="1:1">
      <c r="A715" s="87" t="s">
        <v>1731</v>
      </c>
    </row>
    <row r="716" spans="1:1">
      <c r="A716" s="87" t="s">
        <v>1732</v>
      </c>
    </row>
    <row r="717" spans="1:1">
      <c r="A717" s="87" t="s">
        <v>532</v>
      </c>
    </row>
    <row r="718" spans="1:1">
      <c r="A718" s="87" t="s">
        <v>533</v>
      </c>
    </row>
    <row r="719" spans="1:1">
      <c r="A719" s="87" t="s">
        <v>534</v>
      </c>
    </row>
    <row r="720" spans="1:1">
      <c r="A720" s="87" t="s">
        <v>1007</v>
      </c>
    </row>
    <row r="721" spans="1:1">
      <c r="A721" s="87" t="s">
        <v>535</v>
      </c>
    </row>
    <row r="722" spans="1:1">
      <c r="A722" s="87" t="s">
        <v>1733</v>
      </c>
    </row>
    <row r="723" spans="1:1">
      <c r="A723" s="87" t="s">
        <v>536</v>
      </c>
    </row>
    <row r="724" spans="1:1">
      <c r="A724" s="87" t="s">
        <v>1010</v>
      </c>
    </row>
    <row r="725" spans="1:1">
      <c r="A725" s="87" t="s">
        <v>1011</v>
      </c>
    </row>
    <row r="726" spans="1:1">
      <c r="A726" s="87" t="s">
        <v>845</v>
      </c>
    </row>
    <row r="727" spans="1:1">
      <c r="A727" s="87" t="s">
        <v>1734</v>
      </c>
    </row>
    <row r="728" spans="1:1">
      <c r="A728" s="87" t="s">
        <v>1012</v>
      </c>
    </row>
    <row r="729" spans="1:1">
      <c r="A729" s="87" t="s">
        <v>1013</v>
      </c>
    </row>
    <row r="730" spans="1:1">
      <c r="A730" s="87" t="s">
        <v>1735</v>
      </c>
    </row>
    <row r="731" spans="1:1">
      <c r="A731" s="87" t="s">
        <v>1736</v>
      </c>
    </row>
    <row r="732" spans="1:1">
      <c r="A732" s="87" t="s">
        <v>537</v>
      </c>
    </row>
    <row r="733" spans="1:1">
      <c r="A733" s="87" t="s">
        <v>1737</v>
      </c>
    </row>
    <row r="734" spans="1:1">
      <c r="A734" s="87" t="s">
        <v>1738</v>
      </c>
    </row>
    <row r="735" spans="1:1">
      <c r="A735" s="87" t="s">
        <v>1014</v>
      </c>
    </row>
    <row r="736" spans="1:1">
      <c r="A736" s="87" t="s">
        <v>538</v>
      </c>
    </row>
    <row r="737" spans="1:1">
      <c r="A737" s="87" t="s">
        <v>539</v>
      </c>
    </row>
    <row r="738" spans="1:1">
      <c r="A738" s="87" t="s">
        <v>1739</v>
      </c>
    </row>
    <row r="739" spans="1:1">
      <c r="A739" s="87" t="s">
        <v>1740</v>
      </c>
    </row>
    <row r="740" spans="1:1">
      <c r="A740" s="87" t="s">
        <v>540</v>
      </c>
    </row>
    <row r="741" spans="1:1">
      <c r="A741" s="87" t="s">
        <v>1741</v>
      </c>
    </row>
    <row r="742" spans="1:1">
      <c r="A742" s="87" t="s">
        <v>541</v>
      </c>
    </row>
    <row r="743" spans="1:1">
      <c r="A743" s="87" t="s">
        <v>1015</v>
      </c>
    </row>
    <row r="744" spans="1:1">
      <c r="A744" s="87" t="s">
        <v>542</v>
      </c>
    </row>
    <row r="745" spans="1:1">
      <c r="A745" s="87" t="s">
        <v>543</v>
      </c>
    </row>
    <row r="746" spans="1:1">
      <c r="A746" s="87" t="s">
        <v>544</v>
      </c>
    </row>
    <row r="747" spans="1:1">
      <c r="A747" s="87" t="s">
        <v>1742</v>
      </c>
    </row>
    <row r="748" spans="1:1">
      <c r="A748" s="87" t="s">
        <v>1743</v>
      </c>
    </row>
    <row r="749" spans="1:1">
      <c r="A749" s="87" t="s">
        <v>1744</v>
      </c>
    </row>
    <row r="750" spans="1:1">
      <c r="A750" s="87" t="s">
        <v>1016</v>
      </c>
    </row>
    <row r="751" spans="1:1">
      <c r="A751" s="87" t="s">
        <v>1745</v>
      </c>
    </row>
    <row r="752" spans="1:1">
      <c r="A752" s="87" t="s">
        <v>545</v>
      </c>
    </row>
    <row r="753" spans="1:1">
      <c r="A753" s="87" t="s">
        <v>1017</v>
      </c>
    </row>
    <row r="754" spans="1:1">
      <c r="A754" s="87" t="s">
        <v>1746</v>
      </c>
    </row>
    <row r="755" spans="1:1">
      <c r="A755" s="87" t="s">
        <v>546</v>
      </c>
    </row>
    <row r="756" spans="1:1">
      <c r="A756" s="87" t="s">
        <v>547</v>
      </c>
    </row>
    <row r="757" spans="1:1">
      <c r="A757" s="87" t="s">
        <v>548</v>
      </c>
    </row>
    <row r="758" spans="1:1">
      <c r="A758" s="87" t="s">
        <v>549</v>
      </c>
    </row>
    <row r="759" spans="1:1">
      <c r="A759" s="87" t="s">
        <v>550</v>
      </c>
    </row>
    <row r="760" spans="1:1">
      <c r="A760" s="87" t="s">
        <v>1019</v>
      </c>
    </row>
    <row r="761" spans="1:1">
      <c r="A761" s="87" t="s">
        <v>551</v>
      </c>
    </row>
    <row r="762" spans="1:1">
      <c r="A762" s="87" t="s">
        <v>552</v>
      </c>
    </row>
    <row r="763" spans="1:1">
      <c r="A763" s="87" t="s">
        <v>553</v>
      </c>
    </row>
    <row r="764" spans="1:1">
      <c r="A764" s="87" t="s">
        <v>1020</v>
      </c>
    </row>
    <row r="765" spans="1:1">
      <c r="A765" s="87" t="s">
        <v>1747</v>
      </c>
    </row>
    <row r="766" spans="1:1">
      <c r="A766" s="87" t="s">
        <v>554</v>
      </c>
    </row>
    <row r="767" spans="1:1">
      <c r="A767" s="87" t="s">
        <v>555</v>
      </c>
    </row>
    <row r="768" spans="1:1">
      <c r="A768" s="87" t="s">
        <v>557</v>
      </c>
    </row>
    <row r="769" spans="1:1">
      <c r="A769" s="87" t="s">
        <v>558</v>
      </c>
    </row>
    <row r="770" spans="1:1">
      <c r="A770" s="87" t="s">
        <v>1748</v>
      </c>
    </row>
    <row r="771" spans="1:1">
      <c r="A771" s="87" t="s">
        <v>1749</v>
      </c>
    </row>
    <row r="772" spans="1:1">
      <c r="A772" s="87" t="s">
        <v>559</v>
      </c>
    </row>
    <row r="773" spans="1:1">
      <c r="A773" s="87" t="s">
        <v>560</v>
      </c>
    </row>
    <row r="774" spans="1:1">
      <c r="A774" s="87" t="s">
        <v>561</v>
      </c>
    </row>
    <row r="775" spans="1:1">
      <c r="A775" s="87" t="s">
        <v>562</v>
      </c>
    </row>
    <row r="776" spans="1:1">
      <c r="A776" s="87" t="s">
        <v>563</v>
      </c>
    </row>
    <row r="777" spans="1:1">
      <c r="A777" s="87" t="s">
        <v>1750</v>
      </c>
    </row>
    <row r="778" spans="1:1">
      <c r="A778" s="87" t="s">
        <v>1022</v>
      </c>
    </row>
    <row r="779" spans="1:1">
      <c r="A779" s="87" t="s">
        <v>1751</v>
      </c>
    </row>
    <row r="780" spans="1:1">
      <c r="A780" s="87" t="s">
        <v>564</v>
      </c>
    </row>
    <row r="781" spans="1:1">
      <c r="A781" s="87" t="s">
        <v>1752</v>
      </c>
    </row>
    <row r="782" spans="1:1">
      <c r="A782" s="87" t="s">
        <v>1753</v>
      </c>
    </row>
    <row r="783" spans="1:1">
      <c r="A783" s="87" t="s">
        <v>565</v>
      </c>
    </row>
    <row r="784" spans="1:1">
      <c r="A784" s="87" t="s">
        <v>846</v>
      </c>
    </row>
    <row r="785" spans="1:1">
      <c r="A785" s="87" t="s">
        <v>1754</v>
      </c>
    </row>
    <row r="786" spans="1:1">
      <c r="A786" s="87" t="s">
        <v>1755</v>
      </c>
    </row>
    <row r="787" spans="1:1">
      <c r="A787" s="87" t="s">
        <v>1756</v>
      </c>
    </row>
    <row r="788" spans="1:1">
      <c r="A788" s="87" t="s">
        <v>1023</v>
      </c>
    </row>
    <row r="789" spans="1:1">
      <c r="A789" s="87" t="s">
        <v>1024</v>
      </c>
    </row>
    <row r="790" spans="1:1">
      <c r="A790" s="87" t="s">
        <v>1757</v>
      </c>
    </row>
    <row r="791" spans="1:1">
      <c r="A791" s="87" t="s">
        <v>567</v>
      </c>
    </row>
    <row r="792" spans="1:1">
      <c r="A792" s="87" t="s">
        <v>568</v>
      </c>
    </row>
    <row r="793" spans="1:1">
      <c r="A793" s="87" t="s">
        <v>1758</v>
      </c>
    </row>
    <row r="794" spans="1:1">
      <c r="A794" s="87" t="s">
        <v>569</v>
      </c>
    </row>
    <row r="795" spans="1:1">
      <c r="A795" s="87" t="s">
        <v>570</v>
      </c>
    </row>
    <row r="796" spans="1:1">
      <c r="A796" s="87" t="s">
        <v>571</v>
      </c>
    </row>
    <row r="797" spans="1:1">
      <c r="A797" s="87" t="s">
        <v>572</v>
      </c>
    </row>
    <row r="798" spans="1:1">
      <c r="A798" s="87" t="s">
        <v>573</v>
      </c>
    </row>
    <row r="799" spans="1:1">
      <c r="A799" s="87" t="s">
        <v>574</v>
      </c>
    </row>
    <row r="800" spans="1:1">
      <c r="A800" s="87" t="s">
        <v>1759</v>
      </c>
    </row>
    <row r="801" spans="1:1">
      <c r="A801" s="87" t="s">
        <v>575</v>
      </c>
    </row>
    <row r="802" spans="1:1">
      <c r="A802" s="87" t="s">
        <v>576</v>
      </c>
    </row>
    <row r="803" spans="1:1">
      <c r="A803" s="87" t="s">
        <v>577</v>
      </c>
    </row>
    <row r="804" spans="1:1">
      <c r="A804" s="87" t="s">
        <v>1760</v>
      </c>
    </row>
    <row r="805" spans="1:1">
      <c r="A805" s="87" t="s">
        <v>578</v>
      </c>
    </row>
    <row r="806" spans="1:1">
      <c r="A806" s="87" t="s">
        <v>579</v>
      </c>
    </row>
    <row r="807" spans="1:1">
      <c r="A807" s="87" t="s">
        <v>1761</v>
      </c>
    </row>
    <row r="808" spans="1:1">
      <c r="A808" s="87" t="s">
        <v>1762</v>
      </c>
    </row>
    <row r="809" spans="1:1">
      <c r="A809" s="87" t="s">
        <v>1763</v>
      </c>
    </row>
    <row r="810" spans="1:1">
      <c r="A810" s="87" t="s">
        <v>1764</v>
      </c>
    </row>
    <row r="811" spans="1:1">
      <c r="A811" s="87" t="s">
        <v>1765</v>
      </c>
    </row>
    <row r="812" spans="1:1">
      <c r="A812" s="87" t="s">
        <v>1766</v>
      </c>
    </row>
    <row r="813" spans="1:1">
      <c r="A813" s="87" t="s">
        <v>1027</v>
      </c>
    </row>
    <row r="814" spans="1:1">
      <c r="A814" s="87" t="s">
        <v>1028</v>
      </c>
    </row>
    <row r="815" spans="1:1">
      <c r="A815" s="87" t="s">
        <v>1767</v>
      </c>
    </row>
    <row r="816" spans="1:1">
      <c r="A816" s="87" t="s">
        <v>580</v>
      </c>
    </row>
    <row r="817" spans="1:1">
      <c r="A817" s="87" t="s">
        <v>581</v>
      </c>
    </row>
    <row r="818" spans="1:1">
      <c r="A818" s="87" t="s">
        <v>582</v>
      </c>
    </row>
    <row r="819" spans="1:1">
      <c r="A819" s="87" t="s">
        <v>583</v>
      </c>
    </row>
    <row r="820" spans="1:1">
      <c r="A820" s="87" t="s">
        <v>584</v>
      </c>
    </row>
    <row r="821" spans="1:1">
      <c r="A821" s="87" t="s">
        <v>585</v>
      </c>
    </row>
    <row r="822" spans="1:1">
      <c r="A822" s="87" t="s">
        <v>586</v>
      </c>
    </row>
    <row r="823" spans="1:1">
      <c r="A823" s="87" t="s">
        <v>1768</v>
      </c>
    </row>
    <row r="824" spans="1:1">
      <c r="A824" s="87" t="s">
        <v>587</v>
      </c>
    </row>
    <row r="825" spans="1:1">
      <c r="A825" s="87" t="s">
        <v>1769</v>
      </c>
    </row>
    <row r="826" spans="1:1">
      <c r="A826" s="87" t="s">
        <v>1770</v>
      </c>
    </row>
    <row r="827" spans="1:1">
      <c r="A827" s="87" t="s">
        <v>588</v>
      </c>
    </row>
    <row r="828" spans="1:1">
      <c r="A828" s="87" t="s">
        <v>589</v>
      </c>
    </row>
    <row r="829" spans="1:1">
      <c r="A829" s="87" t="s">
        <v>1030</v>
      </c>
    </row>
    <row r="830" spans="1:1">
      <c r="A830" s="87" t="s">
        <v>1771</v>
      </c>
    </row>
    <row r="831" spans="1:1">
      <c r="A831" s="87" t="s">
        <v>591</v>
      </c>
    </row>
    <row r="832" spans="1:1">
      <c r="A832" s="87" t="s">
        <v>1772</v>
      </c>
    </row>
    <row r="833" spans="1:1">
      <c r="A833" s="87" t="s">
        <v>1032</v>
      </c>
    </row>
    <row r="834" spans="1:1">
      <c r="A834" s="87" t="s">
        <v>1773</v>
      </c>
    </row>
    <row r="835" spans="1:1">
      <c r="A835" s="87" t="s">
        <v>1774</v>
      </c>
    </row>
    <row r="836" spans="1:1">
      <c r="A836" s="87" t="s">
        <v>1775</v>
      </c>
    </row>
    <row r="837" spans="1:1">
      <c r="A837" s="87" t="s">
        <v>1776</v>
      </c>
    </row>
    <row r="838" spans="1:1">
      <c r="A838" s="87" t="s">
        <v>1777</v>
      </c>
    </row>
    <row r="839" spans="1:1">
      <c r="A839" s="87" t="s">
        <v>592</v>
      </c>
    </row>
    <row r="840" spans="1:1">
      <c r="A840" s="87" t="s">
        <v>1778</v>
      </c>
    </row>
    <row r="841" spans="1:1">
      <c r="A841" s="87" t="s">
        <v>1779</v>
      </c>
    </row>
    <row r="842" spans="1:1">
      <c r="A842" s="87" t="s">
        <v>1780</v>
      </c>
    </row>
    <row r="843" spans="1:1">
      <c r="A843" s="87" t="s">
        <v>594</v>
      </c>
    </row>
    <row r="844" spans="1:1">
      <c r="A844" s="87" t="s">
        <v>1781</v>
      </c>
    </row>
    <row r="845" spans="1:1">
      <c r="A845" s="87" t="s">
        <v>1782</v>
      </c>
    </row>
    <row r="846" spans="1:1">
      <c r="A846" s="87" t="s">
        <v>1783</v>
      </c>
    </row>
    <row r="847" spans="1:1">
      <c r="A847" s="87" t="s">
        <v>1034</v>
      </c>
    </row>
    <row r="848" spans="1:1">
      <c r="A848" s="87" t="s">
        <v>595</v>
      </c>
    </row>
    <row r="849" spans="1:1">
      <c r="A849" s="87" t="s">
        <v>1035</v>
      </c>
    </row>
    <row r="850" spans="1:1">
      <c r="A850" s="87" t="s">
        <v>596</v>
      </c>
    </row>
    <row r="851" spans="1:1">
      <c r="A851" s="87" t="s">
        <v>1036</v>
      </c>
    </row>
    <row r="852" spans="1:1">
      <c r="A852" s="87" t="s">
        <v>1037</v>
      </c>
    </row>
    <row r="853" spans="1:1">
      <c r="A853" s="87" t="s">
        <v>599</v>
      </c>
    </row>
    <row r="854" spans="1:1">
      <c r="A854" s="87" t="s">
        <v>1784</v>
      </c>
    </row>
    <row r="855" spans="1:1">
      <c r="A855" s="87" t="s">
        <v>602</v>
      </c>
    </row>
    <row r="856" spans="1:1">
      <c r="A856" s="87" t="s">
        <v>1038</v>
      </c>
    </row>
    <row r="857" spans="1:1">
      <c r="A857" s="87" t="s">
        <v>1785</v>
      </c>
    </row>
    <row r="858" spans="1:1">
      <c r="A858" s="87" t="s">
        <v>1786</v>
      </c>
    </row>
    <row r="859" spans="1:1">
      <c r="A859" s="87" t="s">
        <v>1787</v>
      </c>
    </row>
    <row r="860" spans="1:1">
      <c r="A860" s="87" t="s">
        <v>1788</v>
      </c>
    </row>
    <row r="861" spans="1:1">
      <c r="A861" s="87" t="s">
        <v>603</v>
      </c>
    </row>
    <row r="862" spans="1:1">
      <c r="A862" s="87" t="s">
        <v>1039</v>
      </c>
    </row>
    <row r="863" spans="1:1">
      <c r="A863" s="87" t="s">
        <v>604</v>
      </c>
    </row>
    <row r="864" spans="1:1">
      <c r="A864" s="87" t="s">
        <v>1789</v>
      </c>
    </row>
    <row r="865" spans="1:1">
      <c r="A865" s="87" t="s">
        <v>605</v>
      </c>
    </row>
    <row r="866" spans="1:1">
      <c r="A866" s="87" t="s">
        <v>606</v>
      </c>
    </row>
    <row r="867" spans="1:1">
      <c r="A867" s="87" t="s">
        <v>607</v>
      </c>
    </row>
    <row r="868" spans="1:1">
      <c r="A868" s="87" t="s">
        <v>1040</v>
      </c>
    </row>
    <row r="869" spans="1:1">
      <c r="A869" s="87" t="s">
        <v>1041</v>
      </c>
    </row>
    <row r="870" spans="1:1">
      <c r="A870" s="87" t="s">
        <v>608</v>
      </c>
    </row>
    <row r="871" spans="1:1">
      <c r="A871" s="87" t="s">
        <v>1790</v>
      </c>
    </row>
    <row r="872" spans="1:1">
      <c r="A872" s="87" t="s">
        <v>1791</v>
      </c>
    </row>
    <row r="873" spans="1:1">
      <c r="A873" s="87" t="s">
        <v>1043</v>
      </c>
    </row>
    <row r="874" spans="1:1">
      <c r="A874" s="87" t="s">
        <v>609</v>
      </c>
    </row>
    <row r="875" spans="1:1">
      <c r="A875" s="87" t="s">
        <v>1792</v>
      </c>
    </row>
    <row r="876" spans="1:1">
      <c r="A876" s="87" t="s">
        <v>1793</v>
      </c>
    </row>
    <row r="877" spans="1:1">
      <c r="A877" s="87" t="s">
        <v>610</v>
      </c>
    </row>
    <row r="878" spans="1:1">
      <c r="A878" s="87" t="s">
        <v>611</v>
      </c>
    </row>
    <row r="879" spans="1:1">
      <c r="A879" s="87" t="s">
        <v>1794</v>
      </c>
    </row>
    <row r="880" spans="1:1">
      <c r="A880" s="87" t="s">
        <v>612</v>
      </c>
    </row>
    <row r="881" spans="1:1">
      <c r="A881" s="87" t="s">
        <v>1795</v>
      </c>
    </row>
    <row r="882" spans="1:1">
      <c r="A882" s="87" t="s">
        <v>1796</v>
      </c>
    </row>
    <row r="883" spans="1:1">
      <c r="A883" s="87" t="s">
        <v>1797</v>
      </c>
    </row>
    <row r="884" spans="1:1">
      <c r="A884" s="87" t="s">
        <v>1798</v>
      </c>
    </row>
    <row r="885" spans="1:1">
      <c r="A885" s="87" t="s">
        <v>1799</v>
      </c>
    </row>
    <row r="886" spans="1:1">
      <c r="A886" s="87" t="s">
        <v>1800</v>
      </c>
    </row>
    <row r="887" spans="1:1">
      <c r="A887" s="87" t="s">
        <v>1044</v>
      </c>
    </row>
    <row r="888" spans="1:1">
      <c r="A888" s="87" t="s">
        <v>613</v>
      </c>
    </row>
    <row r="889" spans="1:1">
      <c r="A889" s="87" t="s">
        <v>614</v>
      </c>
    </row>
    <row r="890" spans="1:1">
      <c r="A890" s="87" t="s">
        <v>1801</v>
      </c>
    </row>
    <row r="891" spans="1:1">
      <c r="A891" s="87" t="s">
        <v>1802</v>
      </c>
    </row>
    <row r="892" spans="1:1">
      <c r="A892" s="87" t="s">
        <v>1803</v>
      </c>
    </row>
    <row r="893" spans="1:1">
      <c r="A893" s="87" t="s">
        <v>1804</v>
      </c>
    </row>
    <row r="894" spans="1:1">
      <c r="A894" s="87" t="s">
        <v>617</v>
      </c>
    </row>
    <row r="895" spans="1:1">
      <c r="A895" s="87" t="s">
        <v>1805</v>
      </c>
    </row>
    <row r="896" spans="1:1">
      <c r="A896" s="87" t="s">
        <v>618</v>
      </c>
    </row>
    <row r="897" spans="1:1">
      <c r="A897" s="87" t="s">
        <v>619</v>
      </c>
    </row>
    <row r="898" spans="1:1">
      <c r="A898" s="87" t="s">
        <v>1469</v>
      </c>
    </row>
    <row r="899" spans="1:1">
      <c r="A899" s="87" t="s">
        <v>620</v>
      </c>
    </row>
    <row r="900" spans="1:1">
      <c r="A900" s="87" t="s">
        <v>621</v>
      </c>
    </row>
    <row r="901" spans="1:1">
      <c r="A901" s="87" t="s">
        <v>1806</v>
      </c>
    </row>
    <row r="902" spans="1:1">
      <c r="A902" s="87" t="s">
        <v>1047</v>
      </c>
    </row>
    <row r="903" spans="1:1">
      <c r="A903" s="87" t="s">
        <v>1807</v>
      </c>
    </row>
    <row r="904" spans="1:1">
      <c r="A904" s="87" t="s">
        <v>1808</v>
      </c>
    </row>
    <row r="905" spans="1:1">
      <c r="A905" s="87" t="s">
        <v>1809</v>
      </c>
    </row>
    <row r="906" spans="1:1">
      <c r="A906" s="87" t="s">
        <v>1810</v>
      </c>
    </row>
    <row r="907" spans="1:1">
      <c r="A907" s="87" t="s">
        <v>1811</v>
      </c>
    </row>
    <row r="908" spans="1:1">
      <c r="A908" s="87" t="s">
        <v>1812</v>
      </c>
    </row>
    <row r="909" spans="1:1">
      <c r="A909" s="87" t="s">
        <v>1813</v>
      </c>
    </row>
    <row r="910" spans="1:1">
      <c r="A910" s="87" t="s">
        <v>1814</v>
      </c>
    </row>
    <row r="911" spans="1:1">
      <c r="A911" s="87" t="s">
        <v>1815</v>
      </c>
    </row>
    <row r="912" spans="1:1">
      <c r="A912" s="87" t="s">
        <v>1816</v>
      </c>
    </row>
    <row r="913" spans="1:1">
      <c r="A913" s="87" t="s">
        <v>623</v>
      </c>
    </row>
    <row r="914" spans="1:1">
      <c r="A914" s="87" t="s">
        <v>1817</v>
      </c>
    </row>
    <row r="915" spans="1:1">
      <c r="A915" s="87" t="s">
        <v>624</v>
      </c>
    </row>
    <row r="916" spans="1:1">
      <c r="A916" s="87" t="s">
        <v>1048</v>
      </c>
    </row>
    <row r="917" spans="1:1">
      <c r="A917" s="87" t="s">
        <v>625</v>
      </c>
    </row>
    <row r="918" spans="1:1">
      <c r="A918" s="87" t="s">
        <v>626</v>
      </c>
    </row>
    <row r="919" spans="1:1">
      <c r="A919" s="87" t="s">
        <v>1818</v>
      </c>
    </row>
    <row r="920" spans="1:1">
      <c r="A920" s="87" t="s">
        <v>1819</v>
      </c>
    </row>
    <row r="921" spans="1:1">
      <c r="A921" s="87" t="s">
        <v>1050</v>
      </c>
    </row>
    <row r="922" spans="1:1">
      <c r="A922" s="87" t="s">
        <v>1051</v>
      </c>
    </row>
    <row r="923" spans="1:1">
      <c r="A923" s="87" t="s">
        <v>1820</v>
      </c>
    </row>
    <row r="924" spans="1:1">
      <c r="A924" s="87" t="s">
        <v>627</v>
      </c>
    </row>
    <row r="925" spans="1:1">
      <c r="A925" s="87" t="s">
        <v>628</v>
      </c>
    </row>
    <row r="926" spans="1:1">
      <c r="A926" s="87" t="s">
        <v>629</v>
      </c>
    </row>
    <row r="927" spans="1:1">
      <c r="A927" s="87" t="s">
        <v>1821</v>
      </c>
    </row>
    <row r="928" spans="1:1">
      <c r="A928" s="87" t="s">
        <v>1822</v>
      </c>
    </row>
    <row r="929" spans="1:1">
      <c r="A929" s="87" t="s">
        <v>630</v>
      </c>
    </row>
    <row r="930" spans="1:1">
      <c r="A930" s="87" t="s">
        <v>1823</v>
      </c>
    </row>
    <row r="931" spans="1:1">
      <c r="A931" s="87" t="s">
        <v>1824</v>
      </c>
    </row>
    <row r="932" spans="1:1">
      <c r="A932" s="87" t="s">
        <v>1825</v>
      </c>
    </row>
    <row r="933" spans="1:1">
      <c r="A933" s="87" t="s">
        <v>631</v>
      </c>
    </row>
    <row r="934" spans="1:1">
      <c r="A934" s="87" t="s">
        <v>632</v>
      </c>
    </row>
    <row r="935" spans="1:1">
      <c r="A935" s="87" t="s">
        <v>633</v>
      </c>
    </row>
    <row r="936" spans="1:1">
      <c r="A936" s="87" t="s">
        <v>1826</v>
      </c>
    </row>
    <row r="937" spans="1:1">
      <c r="A937" s="87" t="s">
        <v>634</v>
      </c>
    </row>
    <row r="938" spans="1:1">
      <c r="A938" s="87" t="s">
        <v>635</v>
      </c>
    </row>
    <row r="939" spans="1:1">
      <c r="A939" s="87" t="s">
        <v>1827</v>
      </c>
    </row>
    <row r="940" spans="1:1">
      <c r="A940" s="87" t="s">
        <v>1828</v>
      </c>
    </row>
    <row r="941" spans="1:1">
      <c r="A941" s="87" t="s">
        <v>1829</v>
      </c>
    </row>
    <row r="942" spans="1:1">
      <c r="A942" s="87" t="s">
        <v>1830</v>
      </c>
    </row>
    <row r="943" spans="1:1">
      <c r="A943" s="87" t="s">
        <v>1053</v>
      </c>
    </row>
    <row r="944" spans="1:1">
      <c r="A944" s="87" t="s">
        <v>1054</v>
      </c>
    </row>
    <row r="945" spans="1:1">
      <c r="A945" s="87" t="s">
        <v>636</v>
      </c>
    </row>
    <row r="946" spans="1:1">
      <c r="A946" s="87" t="s">
        <v>637</v>
      </c>
    </row>
    <row r="947" spans="1:1">
      <c r="A947" s="87" t="s">
        <v>1831</v>
      </c>
    </row>
    <row r="948" spans="1:1">
      <c r="A948" s="87" t="s">
        <v>1055</v>
      </c>
    </row>
    <row r="949" spans="1:1">
      <c r="A949" s="87" t="s">
        <v>1056</v>
      </c>
    </row>
    <row r="950" spans="1:1">
      <c r="A950" s="87" t="s">
        <v>1832</v>
      </c>
    </row>
    <row r="951" spans="1:1">
      <c r="A951" s="87" t="s">
        <v>1833</v>
      </c>
    </row>
    <row r="952" spans="1:1">
      <c r="A952" s="87" t="s">
        <v>1057</v>
      </c>
    </row>
    <row r="953" spans="1:1">
      <c r="A953" s="87" t="s">
        <v>1058</v>
      </c>
    </row>
    <row r="954" spans="1:1">
      <c r="A954" s="87" t="s">
        <v>1834</v>
      </c>
    </row>
    <row r="955" spans="1:1">
      <c r="A955" s="87" t="s">
        <v>1059</v>
      </c>
    </row>
    <row r="956" spans="1:1">
      <c r="A956" s="87" t="s">
        <v>1835</v>
      </c>
    </row>
    <row r="957" spans="1:1">
      <c r="A957" s="87" t="s">
        <v>1836</v>
      </c>
    </row>
    <row r="958" spans="1:1">
      <c r="A958" s="87" t="s">
        <v>849</v>
      </c>
    </row>
    <row r="959" spans="1:1">
      <c r="A959" s="87" t="s">
        <v>1837</v>
      </c>
    </row>
    <row r="960" spans="1:1">
      <c r="A960" s="87" t="s">
        <v>1060</v>
      </c>
    </row>
    <row r="961" spans="1:1">
      <c r="A961" s="87" t="s">
        <v>1061</v>
      </c>
    </row>
    <row r="962" spans="1:1">
      <c r="A962" s="87" t="s">
        <v>1062</v>
      </c>
    </row>
    <row r="963" spans="1:1">
      <c r="A963" s="87" t="s">
        <v>1838</v>
      </c>
    </row>
    <row r="964" spans="1:1">
      <c r="A964" s="87" t="s">
        <v>1063</v>
      </c>
    </row>
    <row r="965" spans="1:1">
      <c r="A965" s="87" t="s">
        <v>1064</v>
      </c>
    </row>
    <row r="966" spans="1:1">
      <c r="A966" s="87" t="s">
        <v>1065</v>
      </c>
    </row>
    <row r="967" spans="1:1">
      <c r="A967" s="87" t="s">
        <v>850</v>
      </c>
    </row>
    <row r="968" spans="1:1">
      <c r="A968" s="87" t="s">
        <v>1839</v>
      </c>
    </row>
    <row r="969" spans="1:1">
      <c r="A969" s="87" t="s">
        <v>639</v>
      </c>
    </row>
    <row r="970" spans="1:1">
      <c r="A970" s="87" t="s">
        <v>1840</v>
      </c>
    </row>
    <row r="971" spans="1:1">
      <c r="A971" s="87" t="s">
        <v>1066</v>
      </c>
    </row>
    <row r="972" spans="1:1">
      <c r="A972" s="87" t="s">
        <v>1067</v>
      </c>
    </row>
    <row r="973" spans="1:1">
      <c r="A973" s="87" t="s">
        <v>1068</v>
      </c>
    </row>
    <row r="974" spans="1:1">
      <c r="A974" s="87" t="s">
        <v>1841</v>
      </c>
    </row>
    <row r="975" spans="1:1">
      <c r="A975" s="87" t="s">
        <v>640</v>
      </c>
    </row>
    <row r="976" spans="1:1">
      <c r="A976" s="87" t="s">
        <v>641</v>
      </c>
    </row>
    <row r="977" spans="1:1">
      <c r="A977" s="87" t="s">
        <v>1842</v>
      </c>
    </row>
    <row r="978" spans="1:1">
      <c r="A978" s="87" t="s">
        <v>1069</v>
      </c>
    </row>
    <row r="979" spans="1:1">
      <c r="A979" s="87" t="s">
        <v>642</v>
      </c>
    </row>
    <row r="980" spans="1:1">
      <c r="A980" s="87" t="s">
        <v>1843</v>
      </c>
    </row>
    <row r="981" spans="1:1">
      <c r="A981" s="87" t="s">
        <v>1844</v>
      </c>
    </row>
    <row r="982" spans="1:1">
      <c r="A982" s="87" t="s">
        <v>643</v>
      </c>
    </row>
    <row r="983" spans="1:1">
      <c r="A983" s="87" t="s">
        <v>1845</v>
      </c>
    </row>
    <row r="984" spans="1:1">
      <c r="A984" s="87" t="s">
        <v>1846</v>
      </c>
    </row>
    <row r="985" spans="1:1">
      <c r="A985" s="87" t="s">
        <v>644</v>
      </c>
    </row>
    <row r="986" spans="1:1">
      <c r="A986" s="87" t="s">
        <v>645</v>
      </c>
    </row>
    <row r="987" spans="1:1">
      <c r="A987" s="87" t="s">
        <v>647</v>
      </c>
    </row>
    <row r="988" spans="1:1">
      <c r="A988" s="87" t="s">
        <v>1847</v>
      </c>
    </row>
    <row r="989" spans="1:1">
      <c r="A989" s="87" t="s">
        <v>1070</v>
      </c>
    </row>
    <row r="990" spans="1:1">
      <c r="A990" s="87" t="s">
        <v>1848</v>
      </c>
    </row>
    <row r="991" spans="1:1">
      <c r="A991" s="87" t="s">
        <v>649</v>
      </c>
    </row>
    <row r="992" spans="1:1">
      <c r="A992" s="87" t="s">
        <v>1849</v>
      </c>
    </row>
    <row r="993" spans="1:1">
      <c r="A993" s="87" t="s">
        <v>650</v>
      </c>
    </row>
    <row r="994" spans="1:1">
      <c r="A994" s="87" t="s">
        <v>1850</v>
      </c>
    </row>
    <row r="995" spans="1:1">
      <c r="A995" s="87" t="s">
        <v>1851</v>
      </c>
    </row>
    <row r="996" spans="1:1">
      <c r="A996" s="87" t="s">
        <v>1852</v>
      </c>
    </row>
    <row r="997" spans="1:1">
      <c r="A997" s="87" t="s">
        <v>651</v>
      </c>
    </row>
    <row r="998" spans="1:1">
      <c r="A998" s="87" t="s">
        <v>1470</v>
      </c>
    </row>
    <row r="999" spans="1:1">
      <c r="A999" s="87" t="s">
        <v>1853</v>
      </c>
    </row>
    <row r="1000" spans="1:1">
      <c r="A1000" s="87" t="s">
        <v>653</v>
      </c>
    </row>
    <row r="1001" spans="1:1">
      <c r="A1001" s="87" t="s">
        <v>654</v>
      </c>
    </row>
    <row r="1002" spans="1:1">
      <c r="A1002" s="87" t="s">
        <v>1071</v>
      </c>
    </row>
    <row r="1003" spans="1:1">
      <c r="A1003" s="87" t="s">
        <v>656</v>
      </c>
    </row>
    <row r="1004" spans="1:1">
      <c r="A1004" s="87" t="s">
        <v>1854</v>
      </c>
    </row>
    <row r="1005" spans="1:1">
      <c r="A1005" s="87" t="s">
        <v>1855</v>
      </c>
    </row>
    <row r="1006" spans="1:1">
      <c r="A1006" s="87" t="s">
        <v>658</v>
      </c>
    </row>
    <row r="1007" spans="1:1">
      <c r="A1007" s="87" t="s">
        <v>1856</v>
      </c>
    </row>
    <row r="1008" spans="1:1">
      <c r="A1008" s="87" t="s">
        <v>1072</v>
      </c>
    </row>
    <row r="1009" spans="1:1">
      <c r="A1009" s="87" t="s">
        <v>659</v>
      </c>
    </row>
    <row r="1010" spans="1:1">
      <c r="A1010" s="87" t="s">
        <v>660</v>
      </c>
    </row>
    <row r="1011" spans="1:1">
      <c r="A1011" s="87" t="s">
        <v>661</v>
      </c>
    </row>
    <row r="1012" spans="1:1">
      <c r="A1012" s="87" t="s">
        <v>1857</v>
      </c>
    </row>
    <row r="1013" spans="1:1">
      <c r="A1013" s="87" t="s">
        <v>662</v>
      </c>
    </row>
    <row r="1014" spans="1:1">
      <c r="A1014" s="87" t="s">
        <v>1858</v>
      </c>
    </row>
    <row r="1015" spans="1:1">
      <c r="A1015" s="87" t="s">
        <v>1075</v>
      </c>
    </row>
    <row r="1016" spans="1:1">
      <c r="A1016" s="87" t="s">
        <v>1859</v>
      </c>
    </row>
    <row r="1017" spans="1:1">
      <c r="A1017" s="87" t="s">
        <v>664</v>
      </c>
    </row>
    <row r="1018" spans="1:1">
      <c r="A1018" s="87" t="s">
        <v>1860</v>
      </c>
    </row>
    <row r="1019" spans="1:1">
      <c r="A1019" s="87" t="s">
        <v>665</v>
      </c>
    </row>
    <row r="1020" spans="1:1">
      <c r="A1020" s="87" t="s">
        <v>666</v>
      </c>
    </row>
    <row r="1021" spans="1:1">
      <c r="A1021" s="87" t="s">
        <v>667</v>
      </c>
    </row>
    <row r="1022" spans="1:1">
      <c r="A1022" s="87" t="s">
        <v>668</v>
      </c>
    </row>
    <row r="1023" spans="1:1">
      <c r="A1023" s="87" t="s">
        <v>1861</v>
      </c>
    </row>
    <row r="1024" spans="1:1">
      <c r="A1024" s="87" t="s">
        <v>1862</v>
      </c>
    </row>
    <row r="1025" spans="1:1">
      <c r="A1025" s="87" t="s">
        <v>669</v>
      </c>
    </row>
    <row r="1026" spans="1:1">
      <c r="A1026" s="87" t="s">
        <v>1863</v>
      </c>
    </row>
    <row r="1027" spans="1:1">
      <c r="A1027" s="87" t="s">
        <v>1864</v>
      </c>
    </row>
    <row r="1028" spans="1:1">
      <c r="A1028" s="87" t="s">
        <v>1865</v>
      </c>
    </row>
    <row r="1029" spans="1:1">
      <c r="A1029" s="87" t="s">
        <v>1866</v>
      </c>
    </row>
    <row r="1030" spans="1:1">
      <c r="A1030" s="87" t="s">
        <v>1867</v>
      </c>
    </row>
    <row r="1031" spans="1:1">
      <c r="A1031" s="87" t="s">
        <v>670</v>
      </c>
    </row>
    <row r="1032" spans="1:1">
      <c r="A1032" s="87" t="s">
        <v>1868</v>
      </c>
    </row>
    <row r="1033" spans="1:1">
      <c r="A1033" s="87" t="s">
        <v>1869</v>
      </c>
    </row>
    <row r="1034" spans="1:1">
      <c r="A1034" s="87" t="s">
        <v>1870</v>
      </c>
    </row>
    <row r="1035" spans="1:1">
      <c r="A1035" s="87" t="s">
        <v>1871</v>
      </c>
    </row>
    <row r="1036" spans="1:1">
      <c r="A1036" s="87" t="s">
        <v>1872</v>
      </c>
    </row>
    <row r="1037" spans="1:1">
      <c r="A1037" s="87" t="s">
        <v>1873</v>
      </c>
    </row>
    <row r="1038" spans="1:1">
      <c r="A1038" s="87" t="s">
        <v>1874</v>
      </c>
    </row>
    <row r="1039" spans="1:1">
      <c r="A1039" s="87" t="s">
        <v>671</v>
      </c>
    </row>
    <row r="1040" spans="1:1">
      <c r="A1040" s="87" t="s">
        <v>1077</v>
      </c>
    </row>
    <row r="1041" spans="1:1">
      <c r="A1041" s="87" t="s">
        <v>1875</v>
      </c>
    </row>
    <row r="1042" spans="1:1">
      <c r="A1042" s="87" t="s">
        <v>1876</v>
      </c>
    </row>
    <row r="1043" spans="1:1">
      <c r="A1043" s="87" t="s">
        <v>672</v>
      </c>
    </row>
    <row r="1044" spans="1:1">
      <c r="A1044" s="87" t="s">
        <v>673</v>
      </c>
    </row>
    <row r="1045" spans="1:1">
      <c r="A1045" s="87" t="s">
        <v>674</v>
      </c>
    </row>
    <row r="1046" spans="1:1">
      <c r="A1046" s="87" t="s">
        <v>675</v>
      </c>
    </row>
    <row r="1047" spans="1:1">
      <c r="A1047" s="87" t="s">
        <v>676</v>
      </c>
    </row>
    <row r="1048" spans="1:1">
      <c r="A1048" s="87" t="s">
        <v>677</v>
      </c>
    </row>
    <row r="1049" spans="1:1">
      <c r="A1049" s="87" t="s">
        <v>1877</v>
      </c>
    </row>
    <row r="1050" spans="1:1">
      <c r="A1050" s="87" t="s">
        <v>1079</v>
      </c>
    </row>
    <row r="1051" spans="1:1">
      <c r="A1051" s="87" t="s">
        <v>1080</v>
      </c>
    </row>
    <row r="1052" spans="1:1">
      <c r="A1052" s="87" t="s">
        <v>1878</v>
      </c>
    </row>
    <row r="1053" spans="1:1">
      <c r="A1053" s="87" t="s">
        <v>1879</v>
      </c>
    </row>
    <row r="1054" spans="1:1">
      <c r="A1054" s="87" t="s">
        <v>1880</v>
      </c>
    </row>
    <row r="1055" spans="1:1">
      <c r="A1055" s="87" t="s">
        <v>1881</v>
      </c>
    </row>
    <row r="1056" spans="1:1">
      <c r="A1056" s="87" t="s">
        <v>1081</v>
      </c>
    </row>
    <row r="1057" spans="1:1">
      <c r="A1057" s="87" t="s">
        <v>1082</v>
      </c>
    </row>
    <row r="1058" spans="1:1">
      <c r="A1058" s="87" t="s">
        <v>1882</v>
      </c>
    </row>
    <row r="1059" spans="1:1">
      <c r="A1059" s="87" t="s">
        <v>1883</v>
      </c>
    </row>
    <row r="1060" spans="1:1">
      <c r="A1060" s="87" t="s">
        <v>1884</v>
      </c>
    </row>
    <row r="1061" spans="1:1">
      <c r="A1061" s="87" t="s">
        <v>1885</v>
      </c>
    </row>
    <row r="1062" spans="1:1">
      <c r="A1062" s="87" t="s">
        <v>1886</v>
      </c>
    </row>
    <row r="1063" spans="1:1">
      <c r="A1063" s="87" t="s">
        <v>1887</v>
      </c>
    </row>
    <row r="1064" spans="1:1">
      <c r="A1064" s="87" t="s">
        <v>679</v>
      </c>
    </row>
    <row r="1065" spans="1:1">
      <c r="A1065" s="87" t="s">
        <v>680</v>
      </c>
    </row>
    <row r="1066" spans="1:1">
      <c r="A1066" s="87" t="s">
        <v>1888</v>
      </c>
    </row>
    <row r="1067" spans="1:1">
      <c r="A1067" s="87" t="s">
        <v>1084</v>
      </c>
    </row>
    <row r="1068" spans="1:1">
      <c r="A1068" s="87" t="s">
        <v>681</v>
      </c>
    </row>
    <row r="1069" spans="1:1">
      <c r="A1069" s="87" t="s">
        <v>851</v>
      </c>
    </row>
    <row r="1070" spans="1:1">
      <c r="A1070" s="87" t="s">
        <v>682</v>
      </c>
    </row>
    <row r="1071" spans="1:1">
      <c r="A1071" s="87" t="s">
        <v>1085</v>
      </c>
    </row>
    <row r="1072" spans="1:1">
      <c r="A1072" s="87" t="s">
        <v>1889</v>
      </c>
    </row>
    <row r="1073" spans="1:1">
      <c r="A1073" s="87" t="s">
        <v>1890</v>
      </c>
    </row>
    <row r="1074" spans="1:1">
      <c r="A1074" s="87" t="s">
        <v>1891</v>
      </c>
    </row>
    <row r="1075" spans="1:1">
      <c r="A1075" s="87" t="s">
        <v>1086</v>
      </c>
    </row>
    <row r="1076" spans="1:1">
      <c r="A1076" s="87" t="s">
        <v>683</v>
      </c>
    </row>
    <row r="1077" spans="1:1">
      <c r="A1077" s="87" t="s">
        <v>1087</v>
      </c>
    </row>
    <row r="1078" spans="1:1">
      <c r="A1078" s="87" t="s">
        <v>684</v>
      </c>
    </row>
    <row r="1079" spans="1:1">
      <c r="A1079" s="87" t="s">
        <v>1892</v>
      </c>
    </row>
    <row r="1080" spans="1:1">
      <c r="A1080" s="87" t="s">
        <v>1090</v>
      </c>
    </row>
    <row r="1081" spans="1:1">
      <c r="A1081" s="87" t="s">
        <v>1893</v>
      </c>
    </row>
    <row r="1082" spans="1:1">
      <c r="A1082" s="87" t="s">
        <v>1894</v>
      </c>
    </row>
    <row r="1083" spans="1:1">
      <c r="A1083" s="87" t="s">
        <v>685</v>
      </c>
    </row>
    <row r="1084" spans="1:1">
      <c r="A1084" s="87" t="s">
        <v>1895</v>
      </c>
    </row>
    <row r="1085" spans="1:1">
      <c r="A1085" s="87" t="s">
        <v>1092</v>
      </c>
    </row>
    <row r="1086" spans="1:1">
      <c r="A1086" s="87" t="s">
        <v>686</v>
      </c>
    </row>
    <row r="1087" spans="1:1">
      <c r="A1087" s="87" t="s">
        <v>687</v>
      </c>
    </row>
    <row r="1088" spans="1:1">
      <c r="A1088" s="87" t="s">
        <v>1093</v>
      </c>
    </row>
    <row r="1089" spans="1:1">
      <c r="A1089" s="87" t="s">
        <v>1896</v>
      </c>
    </row>
    <row r="1090" spans="1:1">
      <c r="A1090" s="87" t="s">
        <v>688</v>
      </c>
    </row>
    <row r="1091" spans="1:1">
      <c r="A1091" s="87" t="s">
        <v>689</v>
      </c>
    </row>
    <row r="1092" spans="1:1">
      <c r="A1092" s="87" t="s">
        <v>1095</v>
      </c>
    </row>
    <row r="1093" spans="1:1">
      <c r="A1093" s="87" t="s">
        <v>1897</v>
      </c>
    </row>
    <row r="1094" spans="1:1">
      <c r="A1094" s="87" t="s">
        <v>690</v>
      </c>
    </row>
    <row r="1095" spans="1:1">
      <c r="A1095" s="87" t="s">
        <v>1898</v>
      </c>
    </row>
    <row r="1096" spans="1:1">
      <c r="A1096" s="87" t="s">
        <v>1096</v>
      </c>
    </row>
    <row r="1097" spans="1:1">
      <c r="A1097" s="87" t="s">
        <v>1097</v>
      </c>
    </row>
    <row r="1098" spans="1:1">
      <c r="A1098" s="87" t="s">
        <v>1899</v>
      </c>
    </row>
    <row r="1099" spans="1:1">
      <c r="A1099" s="87" t="s">
        <v>692</v>
      </c>
    </row>
    <row r="1100" spans="1:1">
      <c r="A1100" s="87" t="s">
        <v>1900</v>
      </c>
    </row>
    <row r="1101" spans="1:1">
      <c r="A1101" s="87" t="s">
        <v>693</v>
      </c>
    </row>
    <row r="1102" spans="1:1">
      <c r="A1102" s="87" t="s">
        <v>1099</v>
      </c>
    </row>
    <row r="1103" spans="1:1">
      <c r="A1103" s="87" t="s">
        <v>1100</v>
      </c>
    </row>
    <row r="1104" spans="1:1">
      <c r="A1104" s="87" t="s">
        <v>1901</v>
      </c>
    </row>
    <row r="1105" spans="1:1">
      <c r="A1105" s="87" t="s">
        <v>694</v>
      </c>
    </row>
    <row r="1106" spans="1:1">
      <c r="A1106" s="87" t="s">
        <v>1902</v>
      </c>
    </row>
    <row r="1107" spans="1:1">
      <c r="A1107" s="87" t="s">
        <v>695</v>
      </c>
    </row>
    <row r="1108" spans="1:1">
      <c r="A1108" s="87" t="s">
        <v>696</v>
      </c>
    </row>
    <row r="1109" spans="1:1">
      <c r="A1109" s="87" t="s">
        <v>697</v>
      </c>
    </row>
    <row r="1110" spans="1:1">
      <c r="A1110" s="87" t="s">
        <v>1101</v>
      </c>
    </row>
    <row r="1111" spans="1:1">
      <c r="A1111" s="87" t="s">
        <v>698</v>
      </c>
    </row>
    <row r="1112" spans="1:1">
      <c r="A1112" s="87" t="s">
        <v>699</v>
      </c>
    </row>
    <row r="1113" spans="1:1">
      <c r="A1113" s="87" t="s">
        <v>1903</v>
      </c>
    </row>
    <row r="1114" spans="1:1">
      <c r="A1114" s="87" t="s">
        <v>1904</v>
      </c>
    </row>
    <row r="1115" spans="1:1">
      <c r="A1115" s="87" t="s">
        <v>1905</v>
      </c>
    </row>
    <row r="1116" spans="1:1">
      <c r="A1116" s="87" t="s">
        <v>1102</v>
      </c>
    </row>
    <row r="1117" spans="1:1">
      <c r="A1117" s="87" t="s">
        <v>1906</v>
      </c>
    </row>
    <row r="1118" spans="1:1">
      <c r="A1118" s="87" t="s">
        <v>1907</v>
      </c>
    </row>
    <row r="1119" spans="1:1">
      <c r="A1119" s="87" t="s">
        <v>1908</v>
      </c>
    </row>
    <row r="1120" spans="1:1">
      <c r="A1120" s="87" t="s">
        <v>1909</v>
      </c>
    </row>
    <row r="1121" spans="1:1">
      <c r="A1121" s="87" t="s">
        <v>1910</v>
      </c>
    </row>
    <row r="1122" spans="1:1">
      <c r="A1122" s="87" t="s">
        <v>1911</v>
      </c>
    </row>
    <row r="1123" spans="1:1">
      <c r="A1123" s="87" t="s">
        <v>1912</v>
      </c>
    </row>
    <row r="1124" spans="1:1">
      <c r="A1124" s="87" t="s">
        <v>1913</v>
      </c>
    </row>
    <row r="1125" spans="1:1">
      <c r="A1125" s="87" t="s">
        <v>702</v>
      </c>
    </row>
    <row r="1126" spans="1:1">
      <c r="A1126" s="87" t="s">
        <v>703</v>
      </c>
    </row>
    <row r="1127" spans="1:1">
      <c r="A1127" s="87" t="s">
        <v>704</v>
      </c>
    </row>
    <row r="1128" spans="1:1">
      <c r="A1128" s="87" t="s">
        <v>1914</v>
      </c>
    </row>
    <row r="1129" spans="1:1">
      <c r="A1129" s="87" t="s">
        <v>1915</v>
      </c>
    </row>
    <row r="1130" spans="1:1">
      <c r="A1130" s="87" t="s">
        <v>705</v>
      </c>
    </row>
    <row r="1131" spans="1:1">
      <c r="A1131" s="87" t="s">
        <v>1103</v>
      </c>
    </row>
    <row r="1132" spans="1:1">
      <c r="A1132" s="87" t="s">
        <v>1104</v>
      </c>
    </row>
    <row r="1133" spans="1:1">
      <c r="A1133" s="87" t="s">
        <v>706</v>
      </c>
    </row>
    <row r="1134" spans="1:1">
      <c r="A1134" s="87" t="s">
        <v>1916</v>
      </c>
    </row>
    <row r="1135" spans="1:1">
      <c r="A1135" s="87" t="s">
        <v>707</v>
      </c>
    </row>
    <row r="1136" spans="1:1">
      <c r="A1136" s="87" t="s">
        <v>1917</v>
      </c>
    </row>
    <row r="1137" spans="1:1">
      <c r="A1137" s="87" t="s">
        <v>1918</v>
      </c>
    </row>
    <row r="1138" spans="1:1">
      <c r="A1138" s="87" t="s">
        <v>708</v>
      </c>
    </row>
    <row r="1139" spans="1:1">
      <c r="A1139" s="87" t="s">
        <v>709</v>
      </c>
    </row>
    <row r="1140" spans="1:1">
      <c r="A1140" s="87" t="s">
        <v>1919</v>
      </c>
    </row>
    <row r="1141" spans="1:1">
      <c r="A1141" s="87" t="s">
        <v>710</v>
      </c>
    </row>
    <row r="1142" spans="1:1">
      <c r="A1142" s="87" t="s">
        <v>711</v>
      </c>
    </row>
    <row r="1143" spans="1:1">
      <c r="A1143" s="87" t="s">
        <v>1105</v>
      </c>
    </row>
    <row r="1144" spans="1:1">
      <c r="A1144" s="87" t="s">
        <v>1920</v>
      </c>
    </row>
    <row r="1145" spans="1:1">
      <c r="A1145" s="87" t="s">
        <v>1107</v>
      </c>
    </row>
    <row r="1146" spans="1:1">
      <c r="A1146" s="87" t="s">
        <v>1921</v>
      </c>
    </row>
    <row r="1147" spans="1:1">
      <c r="A1147" s="87" t="s">
        <v>1922</v>
      </c>
    </row>
    <row r="1148" spans="1:1">
      <c r="A1148" s="87" t="s">
        <v>1923</v>
      </c>
    </row>
    <row r="1149" spans="1:1">
      <c r="A1149" s="87" t="s">
        <v>1108</v>
      </c>
    </row>
    <row r="1150" spans="1:1">
      <c r="A1150" s="87" t="s">
        <v>712</v>
      </c>
    </row>
    <row r="1151" spans="1:1">
      <c r="A1151" s="87" t="s">
        <v>1924</v>
      </c>
    </row>
    <row r="1152" spans="1:1">
      <c r="A1152" s="87" t="s">
        <v>1925</v>
      </c>
    </row>
    <row r="1153" spans="1:1">
      <c r="A1153" s="87" t="s">
        <v>713</v>
      </c>
    </row>
    <row r="1154" spans="1:1">
      <c r="A1154" s="87" t="s">
        <v>714</v>
      </c>
    </row>
    <row r="1155" spans="1:1">
      <c r="A1155" s="87" t="s">
        <v>1926</v>
      </c>
    </row>
    <row r="1156" spans="1:1">
      <c r="A1156" s="87" t="s">
        <v>1927</v>
      </c>
    </row>
    <row r="1157" spans="1:1">
      <c r="A1157" s="87" t="s">
        <v>715</v>
      </c>
    </row>
    <row r="1158" spans="1:1">
      <c r="A1158" s="87" t="s">
        <v>1111</v>
      </c>
    </row>
    <row r="1159" spans="1:1">
      <c r="A1159" s="87" t="s">
        <v>716</v>
      </c>
    </row>
    <row r="1160" spans="1:1">
      <c r="A1160" s="87" t="s">
        <v>1928</v>
      </c>
    </row>
    <row r="1161" spans="1:1">
      <c r="A1161" s="87" t="s">
        <v>717</v>
      </c>
    </row>
    <row r="1162" spans="1:1">
      <c r="A1162" s="87" t="s">
        <v>718</v>
      </c>
    </row>
    <row r="1163" spans="1:1">
      <c r="A1163" s="87" t="s">
        <v>719</v>
      </c>
    </row>
    <row r="1164" spans="1:1">
      <c r="A1164" s="87" t="s">
        <v>720</v>
      </c>
    </row>
    <row r="1165" spans="1:1">
      <c r="A1165" s="87" t="s">
        <v>1929</v>
      </c>
    </row>
    <row r="1166" spans="1:1">
      <c r="A1166" s="87" t="s">
        <v>1930</v>
      </c>
    </row>
    <row r="1167" spans="1:1">
      <c r="A1167" s="87" t="s">
        <v>1931</v>
      </c>
    </row>
    <row r="1168" spans="1:1">
      <c r="A1168" s="87" t="s">
        <v>1112</v>
      </c>
    </row>
    <row r="1169" spans="1:1">
      <c r="A1169" s="87" t="s">
        <v>1932</v>
      </c>
    </row>
    <row r="1170" spans="1:1">
      <c r="A1170" s="87" t="s">
        <v>721</v>
      </c>
    </row>
    <row r="1171" spans="1:1">
      <c r="A1171" s="87" t="s">
        <v>722</v>
      </c>
    </row>
    <row r="1172" spans="1:1">
      <c r="A1172" s="87" t="s">
        <v>723</v>
      </c>
    </row>
    <row r="1173" spans="1:1">
      <c r="A1173" s="87" t="s">
        <v>724</v>
      </c>
    </row>
    <row r="1174" spans="1:1">
      <c r="A1174" s="87" t="s">
        <v>1933</v>
      </c>
    </row>
    <row r="1175" spans="1:1">
      <c r="A1175" s="87" t="s">
        <v>725</v>
      </c>
    </row>
    <row r="1176" spans="1:1">
      <c r="A1176" s="87" t="s">
        <v>1114</v>
      </c>
    </row>
    <row r="1177" spans="1:1">
      <c r="A1177" s="87" t="s">
        <v>1115</v>
      </c>
    </row>
    <row r="1178" spans="1:1">
      <c r="A1178" s="87" t="s">
        <v>1116</v>
      </c>
    </row>
    <row r="1179" spans="1:1">
      <c r="A1179" s="87" t="s">
        <v>1934</v>
      </c>
    </row>
    <row r="1180" spans="1:1">
      <c r="A1180" s="87" t="s">
        <v>1117</v>
      </c>
    </row>
    <row r="1181" spans="1:1">
      <c r="A1181" s="87" t="s">
        <v>852</v>
      </c>
    </row>
    <row r="1182" spans="1:1">
      <c r="A1182" s="87" t="s">
        <v>726</v>
      </c>
    </row>
    <row r="1183" spans="1:1">
      <c r="A1183" s="87" t="s">
        <v>1935</v>
      </c>
    </row>
    <row r="1184" spans="1:1">
      <c r="A1184" s="87" t="s">
        <v>1936</v>
      </c>
    </row>
    <row r="1185" spans="1:1">
      <c r="A1185" s="87" t="s">
        <v>727</v>
      </c>
    </row>
    <row r="1186" spans="1:1">
      <c r="A1186" s="87" t="s">
        <v>1937</v>
      </c>
    </row>
    <row r="1187" spans="1:1">
      <c r="A1187" s="87" t="s">
        <v>1118</v>
      </c>
    </row>
    <row r="1188" spans="1:1">
      <c r="A1188" s="87" t="s">
        <v>1938</v>
      </c>
    </row>
    <row r="1189" spans="1:1">
      <c r="A1189" s="87" t="s">
        <v>1119</v>
      </c>
    </row>
    <row r="1190" spans="1:1">
      <c r="A1190" s="87" t="s">
        <v>1120</v>
      </c>
    </row>
    <row r="1191" spans="1:1">
      <c r="A1191" s="87" t="s">
        <v>1121</v>
      </c>
    </row>
    <row r="1192" spans="1:1">
      <c r="A1192" s="87" t="s">
        <v>1122</v>
      </c>
    </row>
    <row r="1193" spans="1:1">
      <c r="A1193" s="87" t="s">
        <v>1123</v>
      </c>
    </row>
    <row r="1194" spans="1:1">
      <c r="A1194" s="87" t="s">
        <v>1125</v>
      </c>
    </row>
    <row r="1195" spans="1:1">
      <c r="A1195" s="87" t="s">
        <v>1126</v>
      </c>
    </row>
    <row r="1196" spans="1:1">
      <c r="A1196" s="87" t="s">
        <v>1127</v>
      </c>
    </row>
    <row r="1197" spans="1:1">
      <c r="A1197" s="87" t="s">
        <v>1129</v>
      </c>
    </row>
    <row r="1198" spans="1:1">
      <c r="A1198" s="87" t="s">
        <v>1939</v>
      </c>
    </row>
    <row r="1199" spans="1:1">
      <c r="A1199" s="87" t="s">
        <v>1940</v>
      </c>
    </row>
    <row r="1200" spans="1:1">
      <c r="A1200" s="87" t="s">
        <v>1130</v>
      </c>
    </row>
    <row r="1201" spans="1:1">
      <c r="A1201" s="87" t="s">
        <v>1131</v>
      </c>
    </row>
    <row r="1202" spans="1:1">
      <c r="A1202" s="87" t="s">
        <v>1132</v>
      </c>
    </row>
    <row r="1203" spans="1:1">
      <c r="A1203" s="87" t="s">
        <v>1133</v>
      </c>
    </row>
    <row r="1204" spans="1:1">
      <c r="A1204" s="87" t="s">
        <v>1941</v>
      </c>
    </row>
    <row r="1205" spans="1:1">
      <c r="A1205" s="87" t="s">
        <v>1942</v>
      </c>
    </row>
    <row r="1206" spans="1:1">
      <c r="A1206" s="87" t="s">
        <v>728</v>
      </c>
    </row>
    <row r="1207" spans="1:1">
      <c r="A1207" s="87" t="s">
        <v>1943</v>
      </c>
    </row>
    <row r="1208" spans="1:1">
      <c r="A1208" s="87" t="s">
        <v>729</v>
      </c>
    </row>
    <row r="1209" spans="1:1">
      <c r="A1209" s="87" t="s">
        <v>1944</v>
      </c>
    </row>
    <row r="1210" spans="1:1">
      <c r="A1210" s="87" t="s">
        <v>730</v>
      </c>
    </row>
    <row r="1211" spans="1:1">
      <c r="A1211" s="87" t="s">
        <v>1136</v>
      </c>
    </row>
    <row r="1212" spans="1:1">
      <c r="A1212" s="87" t="s">
        <v>1137</v>
      </c>
    </row>
    <row r="1213" spans="1:1">
      <c r="A1213" s="87" t="s">
        <v>1945</v>
      </c>
    </row>
    <row r="1214" spans="1:1">
      <c r="A1214" s="87" t="s">
        <v>731</v>
      </c>
    </row>
    <row r="1215" spans="1:1">
      <c r="A1215" s="87" t="s">
        <v>732</v>
      </c>
    </row>
    <row r="1216" spans="1:1">
      <c r="A1216" s="87" t="s">
        <v>733</v>
      </c>
    </row>
    <row r="1217" spans="1:1">
      <c r="A1217" s="87" t="s">
        <v>1946</v>
      </c>
    </row>
    <row r="1218" spans="1:1">
      <c r="A1218" s="87" t="s">
        <v>734</v>
      </c>
    </row>
    <row r="1219" spans="1:1">
      <c r="A1219" s="87" t="s">
        <v>1947</v>
      </c>
    </row>
    <row r="1220" spans="1:1">
      <c r="A1220" s="87" t="s">
        <v>1948</v>
      </c>
    </row>
    <row r="1221" spans="1:1">
      <c r="A1221" s="87" t="s">
        <v>1949</v>
      </c>
    </row>
    <row r="1222" spans="1:1">
      <c r="A1222" s="87" t="s">
        <v>1950</v>
      </c>
    </row>
    <row r="1223" spans="1:1">
      <c r="A1223" s="87" t="s">
        <v>1951</v>
      </c>
    </row>
    <row r="1224" spans="1:1">
      <c r="A1224" s="87" t="s">
        <v>1952</v>
      </c>
    </row>
    <row r="1225" spans="1:1">
      <c r="A1225" s="87" t="s">
        <v>736</v>
      </c>
    </row>
    <row r="1226" spans="1:1">
      <c r="A1226" s="87" t="s">
        <v>739</v>
      </c>
    </row>
    <row r="1227" spans="1:1">
      <c r="A1227" s="87" t="s">
        <v>1953</v>
      </c>
    </row>
    <row r="1228" spans="1:1">
      <c r="A1228" s="87" t="s">
        <v>1140</v>
      </c>
    </row>
    <row r="1229" spans="1:1">
      <c r="A1229" s="87" t="s">
        <v>740</v>
      </c>
    </row>
    <row r="1230" spans="1:1">
      <c r="A1230" s="87" t="s">
        <v>741</v>
      </c>
    </row>
    <row r="1231" spans="1:1">
      <c r="A1231" s="87" t="s">
        <v>1954</v>
      </c>
    </row>
    <row r="1232" spans="1:1">
      <c r="A1232" s="87" t="s">
        <v>1955</v>
      </c>
    </row>
    <row r="1233" spans="1:1">
      <c r="A1233" s="87" t="s">
        <v>742</v>
      </c>
    </row>
    <row r="1234" spans="1:1">
      <c r="A1234" s="87" t="s">
        <v>743</v>
      </c>
    </row>
    <row r="1235" spans="1:1">
      <c r="A1235" s="87" t="s">
        <v>1956</v>
      </c>
    </row>
    <row r="1236" spans="1:1">
      <c r="A1236" s="87" t="s">
        <v>1957</v>
      </c>
    </row>
    <row r="1237" spans="1:1">
      <c r="A1237" s="87" t="s">
        <v>1958</v>
      </c>
    </row>
    <row r="1238" spans="1:1">
      <c r="A1238" s="87" t="s">
        <v>1959</v>
      </c>
    </row>
    <row r="1239" spans="1:1">
      <c r="A1239" s="87" t="s">
        <v>1960</v>
      </c>
    </row>
    <row r="1240" spans="1:1">
      <c r="A1240" s="87" t="s">
        <v>745</v>
      </c>
    </row>
    <row r="1241" spans="1:1">
      <c r="A1241" s="87" t="s">
        <v>1141</v>
      </c>
    </row>
    <row r="1242" spans="1:1">
      <c r="A1242" s="87" t="s">
        <v>746</v>
      </c>
    </row>
    <row r="1243" spans="1:1">
      <c r="A1243" s="87" t="s">
        <v>1142</v>
      </c>
    </row>
    <row r="1244" spans="1:1">
      <c r="A1244" s="87" t="s">
        <v>747</v>
      </c>
    </row>
    <row r="1245" spans="1:1">
      <c r="A1245" s="87" t="s">
        <v>748</v>
      </c>
    </row>
    <row r="1246" spans="1:1">
      <c r="A1246" s="87" t="s">
        <v>749</v>
      </c>
    </row>
    <row r="1247" spans="1:1">
      <c r="A1247" s="87" t="s">
        <v>1144</v>
      </c>
    </row>
    <row r="1248" spans="1:1">
      <c r="A1248" s="87" t="s">
        <v>1961</v>
      </c>
    </row>
    <row r="1249" spans="1:1">
      <c r="A1249" s="87" t="s">
        <v>750</v>
      </c>
    </row>
    <row r="1250" spans="1:1">
      <c r="A1250" s="87" t="s">
        <v>1962</v>
      </c>
    </row>
    <row r="1251" spans="1:1">
      <c r="A1251" s="87" t="s">
        <v>751</v>
      </c>
    </row>
    <row r="1252" spans="1:1">
      <c r="A1252" s="87" t="s">
        <v>752</v>
      </c>
    </row>
    <row r="1253" spans="1:1">
      <c r="A1253" s="87" t="s">
        <v>1963</v>
      </c>
    </row>
    <row r="1254" spans="1:1">
      <c r="A1254" s="87" t="s">
        <v>1964</v>
      </c>
    </row>
    <row r="1255" spans="1:1">
      <c r="A1255" s="87" t="s">
        <v>754</v>
      </c>
    </row>
    <row r="1256" spans="1:1">
      <c r="A1256" s="87" t="s">
        <v>755</v>
      </c>
    </row>
    <row r="1257" spans="1:1">
      <c r="A1257" s="87" t="s">
        <v>1965</v>
      </c>
    </row>
    <row r="1258" spans="1:1">
      <c r="A1258" s="87" t="s">
        <v>1966</v>
      </c>
    </row>
    <row r="1259" spans="1:1">
      <c r="A1259" s="87" t="s">
        <v>1967</v>
      </c>
    </row>
    <row r="1260" spans="1:1">
      <c r="A1260" s="87" t="s">
        <v>756</v>
      </c>
    </row>
    <row r="1261" spans="1:1">
      <c r="A1261" s="87" t="s">
        <v>1145</v>
      </c>
    </row>
    <row r="1262" spans="1:1">
      <c r="A1262" s="87" t="s">
        <v>757</v>
      </c>
    </row>
    <row r="1263" spans="1:1">
      <c r="A1263" s="87" t="s">
        <v>1968</v>
      </c>
    </row>
    <row r="1264" spans="1:1">
      <c r="A1264" s="87" t="s">
        <v>1146</v>
      </c>
    </row>
    <row r="1265" spans="1:1">
      <c r="A1265" s="87" t="s">
        <v>1147</v>
      </c>
    </row>
    <row r="1266" spans="1:1">
      <c r="A1266" s="87" t="s">
        <v>1148</v>
      </c>
    </row>
    <row r="1267" spans="1:1">
      <c r="A1267" s="87" t="s">
        <v>1969</v>
      </c>
    </row>
    <row r="1268" spans="1:1">
      <c r="A1268" s="87" t="s">
        <v>1970</v>
      </c>
    </row>
    <row r="1269" spans="1:1">
      <c r="A1269" s="87" t="s">
        <v>1971</v>
      </c>
    </row>
    <row r="1270" spans="1:1">
      <c r="A1270" s="87" t="s">
        <v>1972</v>
      </c>
    </row>
    <row r="1271" spans="1:1">
      <c r="A1271" s="87" t="s">
        <v>1973</v>
      </c>
    </row>
    <row r="1272" spans="1:1">
      <c r="A1272" s="87" t="s">
        <v>1974</v>
      </c>
    </row>
    <row r="1273" spans="1:1">
      <c r="A1273" s="87" t="s">
        <v>1975</v>
      </c>
    </row>
    <row r="1274" spans="1:1">
      <c r="A1274" s="87" t="s">
        <v>1149</v>
      </c>
    </row>
    <row r="1275" spans="1:1">
      <c r="A1275" s="87" t="s">
        <v>1976</v>
      </c>
    </row>
    <row r="1276" spans="1:1">
      <c r="A1276" s="87" t="s">
        <v>1150</v>
      </c>
    </row>
    <row r="1277" spans="1:1">
      <c r="A1277" s="87" t="s">
        <v>1977</v>
      </c>
    </row>
    <row r="1278" spans="1:1">
      <c r="A1278" s="87" t="s">
        <v>1978</v>
      </c>
    </row>
    <row r="1279" spans="1:1">
      <c r="A1279" s="87" t="s">
        <v>759</v>
      </c>
    </row>
    <row r="1280" spans="1:1">
      <c r="A1280" s="87" t="s">
        <v>1979</v>
      </c>
    </row>
    <row r="1281" spans="1:1">
      <c r="A1281" s="87" t="s">
        <v>760</v>
      </c>
    </row>
    <row r="1282" spans="1:1">
      <c r="A1282" s="87" t="s">
        <v>1980</v>
      </c>
    </row>
    <row r="1283" spans="1:1">
      <c r="A1283" s="87" t="s">
        <v>1981</v>
      </c>
    </row>
    <row r="1284" spans="1:1">
      <c r="A1284" s="87" t="s">
        <v>761</v>
      </c>
    </row>
    <row r="1285" spans="1:1">
      <c r="A1285" s="87" t="s">
        <v>762</v>
      </c>
    </row>
    <row r="1286" spans="1:1">
      <c r="A1286" s="87" t="s">
        <v>763</v>
      </c>
    </row>
    <row r="1287" spans="1:1">
      <c r="A1287" s="87" t="s">
        <v>764</v>
      </c>
    </row>
    <row r="1288" spans="1:1">
      <c r="A1288" s="87" t="s">
        <v>1982</v>
      </c>
    </row>
    <row r="1289" spans="1:1">
      <c r="A1289" s="87" t="s">
        <v>1983</v>
      </c>
    </row>
    <row r="1290" spans="1:1">
      <c r="A1290" s="87" t="s">
        <v>1984</v>
      </c>
    </row>
    <row r="1291" spans="1:1">
      <c r="A1291" s="87" t="s">
        <v>1985</v>
      </c>
    </row>
    <row r="1292" spans="1:1">
      <c r="A1292" s="87" t="s">
        <v>1986</v>
      </c>
    </row>
    <row r="1293" spans="1:1">
      <c r="A1293" s="87" t="s">
        <v>1987</v>
      </c>
    </row>
    <row r="1294" spans="1:1">
      <c r="A1294" s="87" t="s">
        <v>1988</v>
      </c>
    </row>
    <row r="1295" spans="1:1">
      <c r="A1295" s="87" t="s">
        <v>1989</v>
      </c>
    </row>
    <row r="1296" spans="1:1">
      <c r="A1296" s="87" t="s">
        <v>1990</v>
      </c>
    </row>
    <row r="1297" spans="1:1">
      <c r="A1297" s="87" t="s">
        <v>1991</v>
      </c>
    </row>
    <row r="1298" spans="1:1">
      <c r="A1298" s="87" t="s">
        <v>765</v>
      </c>
    </row>
    <row r="1299" spans="1:1">
      <c r="A1299" s="87" t="s">
        <v>1992</v>
      </c>
    </row>
    <row r="1300" spans="1:1">
      <c r="A1300" s="87" t="s">
        <v>1993</v>
      </c>
    </row>
    <row r="1301" spans="1:1">
      <c r="A1301" s="87" t="s">
        <v>1994</v>
      </c>
    </row>
    <row r="1302" spans="1:1">
      <c r="A1302" s="87" t="s">
        <v>1995</v>
      </c>
    </row>
    <row r="1303" spans="1:1">
      <c r="A1303" s="87" t="s">
        <v>766</v>
      </c>
    </row>
    <row r="1304" spans="1:1">
      <c r="A1304" s="87" t="s">
        <v>1996</v>
      </c>
    </row>
    <row r="1305" spans="1:1">
      <c r="A1305" s="87" t="s">
        <v>767</v>
      </c>
    </row>
    <row r="1306" spans="1:1">
      <c r="A1306" s="87" t="s">
        <v>1997</v>
      </c>
    </row>
    <row r="1307" spans="1:1">
      <c r="A1307" s="87" t="s">
        <v>768</v>
      </c>
    </row>
    <row r="1308" spans="1:1">
      <c r="A1308" s="87" t="s">
        <v>1159</v>
      </c>
    </row>
    <row r="1309" spans="1:1">
      <c r="A1309" s="87" t="s">
        <v>769</v>
      </c>
    </row>
    <row r="1310" spans="1:1">
      <c r="A1310" s="87" t="s">
        <v>1998</v>
      </c>
    </row>
    <row r="1311" spans="1:1">
      <c r="A1311" s="87" t="s">
        <v>1999</v>
      </c>
    </row>
    <row r="1312" spans="1:1">
      <c r="A1312" s="87" t="s">
        <v>2000</v>
      </c>
    </row>
    <row r="1313" spans="1:1">
      <c r="A1313" s="87" t="s">
        <v>1160</v>
      </c>
    </row>
    <row r="1314" spans="1:1">
      <c r="A1314" s="87" t="s">
        <v>2001</v>
      </c>
    </row>
    <row r="1315" spans="1:1">
      <c r="A1315" s="87" t="s">
        <v>2002</v>
      </c>
    </row>
    <row r="1316" spans="1:1">
      <c r="A1316" s="87" t="s">
        <v>2003</v>
      </c>
    </row>
    <row r="1317" spans="1:1">
      <c r="A1317" s="87" t="s">
        <v>2004</v>
      </c>
    </row>
    <row r="1318" spans="1:1">
      <c r="A1318" s="87" t="s">
        <v>2005</v>
      </c>
    </row>
    <row r="1319" spans="1:1">
      <c r="A1319" s="87" t="s">
        <v>2006</v>
      </c>
    </row>
    <row r="1320" spans="1:1">
      <c r="A1320" s="87" t="s">
        <v>2007</v>
      </c>
    </row>
    <row r="1321" spans="1:1">
      <c r="A1321" s="87" t="s">
        <v>1161</v>
      </c>
    </row>
    <row r="1322" spans="1:1">
      <c r="A1322" s="87" t="s">
        <v>2008</v>
      </c>
    </row>
    <row r="1323" spans="1:1">
      <c r="A1323" s="87" t="s">
        <v>770</v>
      </c>
    </row>
    <row r="1324" spans="1:1">
      <c r="A1324" s="87" t="s">
        <v>771</v>
      </c>
    </row>
    <row r="1325" spans="1:1">
      <c r="A1325" s="87" t="s">
        <v>2009</v>
      </c>
    </row>
    <row r="1326" spans="1:1">
      <c r="A1326" s="87" t="s">
        <v>772</v>
      </c>
    </row>
    <row r="1327" spans="1:1">
      <c r="A1327" s="87" t="s">
        <v>773</v>
      </c>
    </row>
    <row r="1328" spans="1:1">
      <c r="A1328" s="87" t="s">
        <v>774</v>
      </c>
    </row>
    <row r="1329" spans="1:1">
      <c r="A1329" s="87" t="s">
        <v>1164</v>
      </c>
    </row>
    <row r="1330" spans="1:1">
      <c r="A1330" s="87" t="s">
        <v>2010</v>
      </c>
    </row>
    <row r="1331" spans="1:1">
      <c r="A1331" s="87" t="s">
        <v>2011</v>
      </c>
    </row>
    <row r="1332" spans="1:1">
      <c r="A1332" s="87" t="s">
        <v>2012</v>
      </c>
    </row>
    <row r="1333" spans="1:1">
      <c r="A1333" s="87" t="s">
        <v>2013</v>
      </c>
    </row>
    <row r="1334" spans="1:1">
      <c r="A1334" s="87" t="s">
        <v>2014</v>
      </c>
    </row>
    <row r="1335" spans="1:1">
      <c r="A1335" s="87" t="s">
        <v>2015</v>
      </c>
    </row>
    <row r="1336" spans="1:1">
      <c r="A1336" s="87" t="s">
        <v>2016</v>
      </c>
    </row>
    <row r="1337" spans="1:1">
      <c r="A1337" s="87" t="s">
        <v>1165</v>
      </c>
    </row>
    <row r="1338" spans="1:1">
      <c r="A1338" s="87" t="s">
        <v>1166</v>
      </c>
    </row>
    <row r="1339" spans="1:1">
      <c r="A1339" s="87" t="s">
        <v>1167</v>
      </c>
    </row>
    <row r="1340" spans="1:1">
      <c r="A1340" s="87" t="s">
        <v>775</v>
      </c>
    </row>
    <row r="1341" spans="1:1">
      <c r="A1341" s="87" t="s">
        <v>2017</v>
      </c>
    </row>
    <row r="1342" spans="1:1">
      <c r="A1342" s="87" t="s">
        <v>1168</v>
      </c>
    </row>
    <row r="1343" spans="1:1">
      <c r="A1343" s="87" t="s">
        <v>776</v>
      </c>
    </row>
    <row r="1344" spans="1:1">
      <c r="A1344" s="87" t="s">
        <v>1170</v>
      </c>
    </row>
    <row r="1345" spans="1:1">
      <c r="A1345" s="87" t="s">
        <v>2018</v>
      </c>
    </row>
    <row r="1346" spans="1:1">
      <c r="A1346" s="87" t="s">
        <v>777</v>
      </c>
    </row>
    <row r="1347" spans="1:1">
      <c r="A1347" s="87" t="s">
        <v>2019</v>
      </c>
    </row>
    <row r="1348" spans="1:1">
      <c r="A1348" s="87" t="s">
        <v>778</v>
      </c>
    </row>
    <row r="1349" spans="1:1">
      <c r="A1349" s="87" t="s">
        <v>780</v>
      </c>
    </row>
    <row r="1350" spans="1:1">
      <c r="A1350" s="87" t="s">
        <v>781</v>
      </c>
    </row>
    <row r="1351" spans="1:1">
      <c r="A1351" s="87" t="s">
        <v>782</v>
      </c>
    </row>
    <row r="1352" spans="1:1">
      <c r="A1352" s="87" t="s">
        <v>1172</v>
      </c>
    </row>
    <row r="1353" spans="1:1">
      <c r="A1353" s="87" t="s">
        <v>783</v>
      </c>
    </row>
    <row r="1354" spans="1:1">
      <c r="A1354" s="87" t="s">
        <v>784</v>
      </c>
    </row>
    <row r="1355" spans="1:1">
      <c r="A1355" s="87" t="s">
        <v>2020</v>
      </c>
    </row>
    <row r="1356" spans="1:1">
      <c r="A1356" s="87" t="s">
        <v>785</v>
      </c>
    </row>
    <row r="1357" spans="1:1">
      <c r="A1357" s="87" t="s">
        <v>1174</v>
      </c>
    </row>
    <row r="1358" spans="1:1">
      <c r="A1358" s="87" t="s">
        <v>2021</v>
      </c>
    </row>
    <row r="1359" spans="1:1">
      <c r="A1359" s="87" t="s">
        <v>1175</v>
      </c>
    </row>
    <row r="1360" spans="1:1">
      <c r="A1360" s="87" t="s">
        <v>786</v>
      </c>
    </row>
    <row r="1361" spans="1:1">
      <c r="A1361" s="87" t="s">
        <v>2022</v>
      </c>
    </row>
    <row r="1362" spans="1:1">
      <c r="A1362" s="87" t="s">
        <v>2023</v>
      </c>
    </row>
    <row r="1363" spans="1:1">
      <c r="A1363" s="87" t="s">
        <v>2024</v>
      </c>
    </row>
    <row r="1364" spans="1:1">
      <c r="A1364" s="87" t="s">
        <v>2025</v>
      </c>
    </row>
    <row r="1365" spans="1:1">
      <c r="A1365" s="87" t="s">
        <v>2026</v>
      </c>
    </row>
    <row r="1366" spans="1:1">
      <c r="A1366" s="87" t="s">
        <v>2027</v>
      </c>
    </row>
    <row r="1367" spans="1:1">
      <c r="A1367" s="87" t="s">
        <v>2028</v>
      </c>
    </row>
    <row r="1368" spans="1:1">
      <c r="A1368" s="87" t="s">
        <v>2029</v>
      </c>
    </row>
    <row r="1369" spans="1:1">
      <c r="A1369" s="87" t="s">
        <v>2030</v>
      </c>
    </row>
    <row r="1370" spans="1:1">
      <c r="A1370" s="87" t="s">
        <v>2031</v>
      </c>
    </row>
    <row r="1371" spans="1:1">
      <c r="A1371" s="87" t="s">
        <v>2032</v>
      </c>
    </row>
    <row r="1372" spans="1:1">
      <c r="A1372" s="87" t="s">
        <v>2033</v>
      </c>
    </row>
    <row r="1373" spans="1:1">
      <c r="A1373" s="87" t="s">
        <v>2034</v>
      </c>
    </row>
    <row r="1374" spans="1:1">
      <c r="A1374" s="87" t="s">
        <v>2035</v>
      </c>
    </row>
    <row r="1375" spans="1:1">
      <c r="A1375" s="87" t="s">
        <v>2036</v>
      </c>
    </row>
    <row r="1376" spans="1:1">
      <c r="A1376" s="87" t="s">
        <v>1178</v>
      </c>
    </row>
    <row r="1377" spans="1:1">
      <c r="A1377" s="87" t="s">
        <v>787</v>
      </c>
    </row>
    <row r="1378" spans="1:1">
      <c r="A1378" s="87" t="s">
        <v>788</v>
      </c>
    </row>
    <row r="1379" spans="1:1">
      <c r="A1379" s="87" t="s">
        <v>2037</v>
      </c>
    </row>
    <row r="1380" spans="1:1">
      <c r="A1380" s="87" t="s">
        <v>1180</v>
      </c>
    </row>
    <row r="1381" spans="1:1">
      <c r="A1381" s="87" t="s">
        <v>1181</v>
      </c>
    </row>
    <row r="1382" spans="1:1">
      <c r="A1382" s="87" t="s">
        <v>2038</v>
      </c>
    </row>
    <row r="1383" spans="1:1">
      <c r="A1383" s="87" t="s">
        <v>2039</v>
      </c>
    </row>
    <row r="1384" spans="1:1">
      <c r="A1384" s="87" t="s">
        <v>789</v>
      </c>
    </row>
    <row r="1385" spans="1:1">
      <c r="A1385" s="87" t="s">
        <v>2040</v>
      </c>
    </row>
    <row r="1386" spans="1:1">
      <c r="A1386" s="87" t="s">
        <v>790</v>
      </c>
    </row>
    <row r="1387" spans="1:1">
      <c r="A1387" s="87" t="s">
        <v>2041</v>
      </c>
    </row>
    <row r="1388" spans="1:1">
      <c r="A1388" s="87" t="s">
        <v>1182</v>
      </c>
    </row>
    <row r="1389" spans="1:1">
      <c r="A1389" s="87" t="s">
        <v>2042</v>
      </c>
    </row>
    <row r="1390" spans="1:1">
      <c r="A1390" s="87" t="s">
        <v>2043</v>
      </c>
    </row>
    <row r="1391" spans="1:1">
      <c r="A1391" s="87" t="s">
        <v>1183</v>
      </c>
    </row>
    <row r="1392" spans="1:1">
      <c r="A1392" s="87" t="s">
        <v>791</v>
      </c>
    </row>
    <row r="1393" spans="1:1">
      <c r="A1393" s="87" t="s">
        <v>793</v>
      </c>
    </row>
    <row r="1394" spans="1:1">
      <c r="A1394" s="87" t="s">
        <v>794</v>
      </c>
    </row>
    <row r="1395" spans="1:1">
      <c r="A1395" s="87" t="s">
        <v>2044</v>
      </c>
    </row>
    <row r="1396" spans="1:1">
      <c r="A1396" s="87" t="s">
        <v>795</v>
      </c>
    </row>
    <row r="1397" spans="1:1">
      <c r="A1397" s="87" t="s">
        <v>796</v>
      </c>
    </row>
    <row r="1398" spans="1:1">
      <c r="A1398" s="87" t="s">
        <v>2045</v>
      </c>
    </row>
    <row r="1399" spans="1:1">
      <c r="A1399" s="87" t="s">
        <v>797</v>
      </c>
    </row>
    <row r="1400" spans="1:1">
      <c r="A1400" s="87" t="s">
        <v>2046</v>
      </c>
    </row>
    <row r="1401" spans="1:1">
      <c r="A1401" s="87" t="s">
        <v>1185</v>
      </c>
    </row>
    <row r="1402" spans="1:1">
      <c r="A1402" s="87" t="s">
        <v>798</v>
      </c>
    </row>
    <row r="1403" spans="1:1">
      <c r="A1403" s="87" t="s">
        <v>1187</v>
      </c>
    </row>
    <row r="1404" spans="1:1">
      <c r="A1404" s="87" t="s">
        <v>2047</v>
      </c>
    </row>
    <row r="1405" spans="1:1">
      <c r="A1405" s="87" t="s">
        <v>2048</v>
      </c>
    </row>
    <row r="1406" spans="1:1">
      <c r="A1406" s="87" t="s">
        <v>2049</v>
      </c>
    </row>
    <row r="1407" spans="1:1">
      <c r="A1407" s="87" t="s">
        <v>2050</v>
      </c>
    </row>
    <row r="1408" spans="1:1">
      <c r="A1408" s="87" t="s">
        <v>2051</v>
      </c>
    </row>
    <row r="1409" spans="1:1">
      <c r="A1409" s="87" t="s">
        <v>799</v>
      </c>
    </row>
    <row r="1410" spans="1:1">
      <c r="A1410" s="87" t="s">
        <v>800</v>
      </c>
    </row>
    <row r="1411" spans="1:1">
      <c r="A1411" s="87" t="s">
        <v>2052</v>
      </c>
    </row>
    <row r="1412" spans="1:1">
      <c r="A1412" s="87" t="s">
        <v>801</v>
      </c>
    </row>
    <row r="1413" spans="1:1">
      <c r="A1413" s="87" t="s">
        <v>2053</v>
      </c>
    </row>
    <row r="1414" spans="1:1">
      <c r="A1414" s="87" t="s">
        <v>802</v>
      </c>
    </row>
    <row r="1415" spans="1:1">
      <c r="A1415" s="87" t="s">
        <v>2054</v>
      </c>
    </row>
    <row r="1416" spans="1:1">
      <c r="A1416" s="87" t="s">
        <v>803</v>
      </c>
    </row>
    <row r="1417" spans="1:1">
      <c r="A1417" s="87" t="s">
        <v>1474</v>
      </c>
    </row>
    <row r="1418" spans="1:1">
      <c r="A1418" s="87" t="s">
        <v>806</v>
      </c>
    </row>
    <row r="1419" spans="1:1">
      <c r="A1419" s="87" t="s">
        <v>2055</v>
      </c>
    </row>
    <row r="1420" spans="1:1">
      <c r="A1420" s="87" t="s">
        <v>2056</v>
      </c>
    </row>
    <row r="1421" spans="1:1">
      <c r="A1421" s="87" t="s">
        <v>2057</v>
      </c>
    </row>
    <row r="1422" spans="1:1">
      <c r="A1422" s="87" t="s">
        <v>2058</v>
      </c>
    </row>
    <row r="1423" spans="1:1">
      <c r="A1423" s="87" t="s">
        <v>807</v>
      </c>
    </row>
    <row r="1424" spans="1:1">
      <c r="A1424" s="87" t="s">
        <v>808</v>
      </c>
    </row>
    <row r="1425" spans="1:1">
      <c r="A1425" s="87" t="s">
        <v>809</v>
      </c>
    </row>
    <row r="1426" spans="1:1">
      <c r="A1426" s="87" t="s">
        <v>810</v>
      </c>
    </row>
    <row r="1427" spans="1:1">
      <c r="A1427" s="87" t="s">
        <v>811</v>
      </c>
    </row>
    <row r="1428" spans="1:1">
      <c r="A1428" s="87" t="s">
        <v>812</v>
      </c>
    </row>
    <row r="1429" spans="1:1">
      <c r="A1429" s="87" t="s">
        <v>2059</v>
      </c>
    </row>
    <row r="1430" spans="1:1">
      <c r="A1430" s="87" t="s">
        <v>1189</v>
      </c>
    </row>
    <row r="1431" spans="1:1">
      <c r="A1431" s="87" t="s">
        <v>1190</v>
      </c>
    </row>
    <row r="1432" spans="1:1">
      <c r="A1432" s="87" t="s">
        <v>2060</v>
      </c>
    </row>
    <row r="1433" spans="1:1">
      <c r="A1433" s="87" t="s">
        <v>813</v>
      </c>
    </row>
    <row r="1434" spans="1:1">
      <c r="A1434" s="87" t="s">
        <v>2061</v>
      </c>
    </row>
    <row r="1435" spans="1:1">
      <c r="A1435" s="87" t="s">
        <v>2062</v>
      </c>
    </row>
    <row r="1436" spans="1:1">
      <c r="A1436" s="87" t="s">
        <v>814</v>
      </c>
    </row>
    <row r="1437" spans="1:1">
      <c r="A1437" s="87" t="s">
        <v>815</v>
      </c>
    </row>
    <row r="1438" spans="1:1">
      <c r="A1438" s="87" t="s">
        <v>2063</v>
      </c>
    </row>
    <row r="1439" spans="1:1">
      <c r="A1439" s="87" t="s">
        <v>1192</v>
      </c>
    </row>
    <row r="1440" spans="1:1">
      <c r="A1440" s="87" t="s">
        <v>2064</v>
      </c>
    </row>
    <row r="1441" spans="1:1">
      <c r="A1441" s="87" t="s">
        <v>2065</v>
      </c>
    </row>
    <row r="1442" spans="1:1">
      <c r="A1442" s="87" t="s">
        <v>817</v>
      </c>
    </row>
    <row r="1443" spans="1:1">
      <c r="A1443" s="87" t="s">
        <v>2066</v>
      </c>
    </row>
    <row r="1444" spans="1:1">
      <c r="A1444" s="87" t="s">
        <v>1193</v>
      </c>
    </row>
    <row r="1445" spans="1:1">
      <c r="A1445" s="87" t="s">
        <v>1194</v>
      </c>
    </row>
    <row r="1446" spans="1:1">
      <c r="A1446" s="87" t="s">
        <v>1195</v>
      </c>
    </row>
    <row r="1447" spans="1:1">
      <c r="A1447" s="87" t="s">
        <v>2067</v>
      </c>
    </row>
    <row r="1448" spans="1:1">
      <c r="A1448" s="87" t="s">
        <v>819</v>
      </c>
    </row>
    <row r="1449" spans="1:1">
      <c r="A1449" s="87" t="s">
        <v>820</v>
      </c>
    </row>
    <row r="1450" spans="1:1">
      <c r="A1450" s="87" t="s">
        <v>821</v>
      </c>
    </row>
    <row r="1451" spans="1:1">
      <c r="A1451" s="87" t="s">
        <v>822</v>
      </c>
    </row>
    <row r="1452" spans="1:1">
      <c r="A1452" s="87" t="s">
        <v>1196</v>
      </c>
    </row>
    <row r="1453" spans="1:1">
      <c r="A1453" s="87" t="s">
        <v>823</v>
      </c>
    </row>
    <row r="1454" spans="1:1">
      <c r="A1454" s="87" t="s">
        <v>824</v>
      </c>
    </row>
    <row r="1455" spans="1:1">
      <c r="A1455" s="87" t="s">
        <v>825</v>
      </c>
    </row>
    <row r="1456" spans="1:1">
      <c r="A1456" s="87" t="s">
        <v>826</v>
      </c>
    </row>
    <row r="1457" spans="1:1">
      <c r="A1457" s="87" t="s">
        <v>827</v>
      </c>
    </row>
    <row r="1458" spans="1:1">
      <c r="A1458" s="87" t="s">
        <v>2068</v>
      </c>
    </row>
    <row r="1459" spans="1:1">
      <c r="A1459" s="87" t="s">
        <v>2069</v>
      </c>
    </row>
    <row r="1460" spans="1:1">
      <c r="A1460" s="87" t="s">
        <v>2070</v>
      </c>
    </row>
    <row r="1461" spans="1:1">
      <c r="A1461" s="87" t="s">
        <v>2071</v>
      </c>
    </row>
    <row r="1462" spans="1:1">
      <c r="A1462" s="87" t="s">
        <v>828</v>
      </c>
    </row>
    <row r="1463" spans="1:1">
      <c r="A1463" s="87" t="s">
        <v>829</v>
      </c>
    </row>
    <row r="1464" spans="1:1">
      <c r="A1464" s="87" t="s">
        <v>2072</v>
      </c>
    </row>
    <row r="1465" spans="1:1">
      <c r="A1465" s="87" t="s">
        <v>830</v>
      </c>
    </row>
    <row r="1466" spans="1:1">
      <c r="A1466" s="87" t="s">
        <v>831</v>
      </c>
    </row>
    <row r="1467" spans="1:1">
      <c r="A1467" s="87" t="s">
        <v>1198</v>
      </c>
    </row>
    <row r="1468" spans="1:1">
      <c r="A1468" s="87" t="s">
        <v>2073</v>
      </c>
    </row>
    <row r="1469" spans="1:1">
      <c r="A1469" s="87" t="s">
        <v>832</v>
      </c>
    </row>
    <row r="1470" spans="1:1">
      <c r="A1470" s="87" t="s">
        <v>2074</v>
      </c>
    </row>
    <row r="1471" spans="1:1">
      <c r="A1471" s="87" t="s">
        <v>2075</v>
      </c>
    </row>
    <row r="1472" spans="1:1">
      <c r="A1472" s="87" t="s">
        <v>833</v>
      </c>
    </row>
    <row r="1473" spans="1:1">
      <c r="A1473" s="87" t="s">
        <v>1199</v>
      </c>
    </row>
    <row r="1474" spans="1:1">
      <c r="A1474" s="87" t="s">
        <v>2076</v>
      </c>
    </row>
    <row r="1475" spans="1:1">
      <c r="A1475" s="87" t="s">
        <v>1200</v>
      </c>
    </row>
    <row r="1476" spans="1:1">
      <c r="A1476" s="87" t="s">
        <v>2077</v>
      </c>
    </row>
    <row r="1477" spans="1:1">
      <c r="A1477" s="87" t="s">
        <v>1201</v>
      </c>
    </row>
    <row r="1478" spans="1:1">
      <c r="A1478" s="87" t="s">
        <v>2078</v>
      </c>
    </row>
    <row r="1479" spans="1:1">
      <c r="A1479" s="87" t="s">
        <v>2079</v>
      </c>
    </row>
    <row r="1480" spans="1:1">
      <c r="A1480" s="87" t="s">
        <v>2080</v>
      </c>
    </row>
    <row r="1481" spans="1:1">
      <c r="A1481" s="87" t="s">
        <v>2081</v>
      </c>
    </row>
    <row r="1482" spans="1:1">
      <c r="A1482" s="87" t="s">
        <v>834</v>
      </c>
    </row>
    <row r="1483" spans="1:1">
      <c r="A1483" s="87" t="s">
        <v>2082</v>
      </c>
    </row>
    <row r="1484" spans="1:1">
      <c r="A1484" s="87" t="s">
        <v>2083</v>
      </c>
    </row>
    <row r="1485" spans="1:1">
      <c r="A1485" s="87" t="s">
        <v>2084</v>
      </c>
    </row>
    <row r="1486" spans="1:1">
      <c r="A1486" s="87" t="s">
        <v>2085</v>
      </c>
    </row>
    <row r="1487" spans="1:1">
      <c r="A1487" s="87" t="s">
        <v>2086</v>
      </c>
    </row>
    <row r="1488" spans="1:1">
      <c r="A1488" s="87" t="s">
        <v>2087</v>
      </c>
    </row>
    <row r="1489" spans="1:5">
      <c r="A1489" s="87" t="s">
        <v>835</v>
      </c>
    </row>
    <row r="1490" spans="1:5">
      <c r="A1490" s="87" t="s">
        <v>1202</v>
      </c>
    </row>
    <row r="1491" spans="1:5">
      <c r="A1491" s="87" t="s">
        <v>2088</v>
      </c>
    </row>
    <row r="1492" spans="1:5">
      <c r="A1492" s="87" t="s">
        <v>836</v>
      </c>
    </row>
    <row r="1493" spans="1:5">
      <c r="A1493" s="87" t="s">
        <v>2089</v>
      </c>
    </row>
    <row r="1494" spans="1:5">
      <c r="A1494" s="87" t="s">
        <v>1203</v>
      </c>
    </row>
    <row r="1495" spans="1:5">
      <c r="A1495" s="87" t="s">
        <v>838</v>
      </c>
    </row>
    <row r="1496" spans="1:5">
      <c r="A1496" s="87" t="s">
        <v>839</v>
      </c>
    </row>
    <row r="1497" spans="1:5">
      <c r="A1497" s="87" t="s">
        <v>1204</v>
      </c>
    </row>
    <row r="1498" spans="1:5" ht="16" thickBot="1">
      <c r="A1498" s="89" t="s">
        <v>2090</v>
      </c>
    </row>
    <row r="1499" spans="1:5" ht="16" thickTop="1"/>
    <row r="1501" spans="1:5" ht="16" thickBot="1">
      <c r="A1501" s="16"/>
    </row>
    <row r="1502" spans="1:5" ht="16" thickTop="1">
      <c r="A1502" s="91" t="s">
        <v>1444</v>
      </c>
      <c r="B1502" s="46"/>
      <c r="C1502" s="46"/>
      <c r="D1502" s="46"/>
      <c r="E1502" s="47"/>
    </row>
    <row r="1503" spans="1:5">
      <c r="A1503" s="48" t="s">
        <v>1454</v>
      </c>
      <c r="B1503" s="16"/>
      <c r="C1503" s="16"/>
      <c r="D1503" s="16"/>
      <c r="E1503" s="49"/>
    </row>
    <row r="1504" spans="1:5">
      <c r="A1504" s="48" t="s">
        <v>1409</v>
      </c>
      <c r="B1504" s="16" t="s">
        <v>2108</v>
      </c>
      <c r="C1504" s="16" t="s">
        <v>1408</v>
      </c>
      <c r="D1504" s="92" t="s">
        <v>2983</v>
      </c>
      <c r="E1504" s="49" t="s">
        <v>2</v>
      </c>
    </row>
    <row r="1505" spans="1:5">
      <c r="A1505" s="48" t="s">
        <v>1368</v>
      </c>
      <c r="B1505" s="16">
        <v>1</v>
      </c>
      <c r="C1505" s="16" t="s">
        <v>1434</v>
      </c>
      <c r="D1505" s="16">
        <v>0</v>
      </c>
      <c r="E1505" s="49"/>
    </row>
    <row r="1506" spans="1:5">
      <c r="A1506" s="48" t="s">
        <v>1312</v>
      </c>
      <c r="B1506" s="16">
        <v>1</v>
      </c>
      <c r="C1506" s="16" t="s">
        <v>1419</v>
      </c>
      <c r="D1506" s="16">
        <v>0</v>
      </c>
      <c r="E1506" s="49"/>
    </row>
    <row r="1507" spans="1:5">
      <c r="A1507" s="48" t="s">
        <v>1340</v>
      </c>
      <c r="B1507" s="16">
        <v>1</v>
      </c>
      <c r="C1507" s="16" t="s">
        <v>1427</v>
      </c>
      <c r="D1507" s="16">
        <v>0</v>
      </c>
      <c r="E1507" s="49"/>
    </row>
    <row r="1508" spans="1:5">
      <c r="A1508" s="48" t="s">
        <v>1289</v>
      </c>
      <c r="B1508" s="16">
        <v>1</v>
      </c>
      <c r="C1508" s="16" t="s">
        <v>1417</v>
      </c>
      <c r="D1508" s="92">
        <v>0</v>
      </c>
      <c r="E1508" s="49"/>
    </row>
    <row r="1509" spans="1:5">
      <c r="A1509" s="48" t="s">
        <v>1375</v>
      </c>
      <c r="B1509" s="16">
        <v>1</v>
      </c>
      <c r="C1509" s="16" t="s">
        <v>1435</v>
      </c>
      <c r="D1509" s="92">
        <v>0</v>
      </c>
      <c r="E1509" s="49"/>
    </row>
    <row r="1510" spans="1:5">
      <c r="A1510" s="48" t="s">
        <v>1284</v>
      </c>
      <c r="B1510" s="16">
        <v>1</v>
      </c>
      <c r="C1510" s="16" t="s">
        <v>1416</v>
      </c>
      <c r="D1510" s="92">
        <v>0</v>
      </c>
      <c r="E1510" s="49" t="s">
        <v>2977</v>
      </c>
    </row>
    <row r="1511" spans="1:5">
      <c r="A1511" s="48" t="s">
        <v>1348</v>
      </c>
      <c r="B1511" s="16">
        <v>1</v>
      </c>
      <c r="C1511" s="16" t="s">
        <v>1430</v>
      </c>
      <c r="D1511" s="92">
        <v>0</v>
      </c>
      <c r="E1511" s="49"/>
    </row>
    <row r="1512" spans="1:5">
      <c r="A1512" s="48" t="s">
        <v>1255</v>
      </c>
      <c r="B1512" s="16">
        <v>1</v>
      </c>
      <c r="C1512" s="16" t="s">
        <v>1413</v>
      </c>
      <c r="D1512" s="92">
        <v>0</v>
      </c>
      <c r="E1512" s="49"/>
    </row>
    <row r="1513" spans="1:5">
      <c r="A1513" s="48" t="s">
        <v>1285</v>
      </c>
      <c r="B1513" s="16">
        <v>1</v>
      </c>
      <c r="C1513" s="16" t="s">
        <v>1416</v>
      </c>
      <c r="D1513" s="92">
        <v>0</v>
      </c>
      <c r="E1513" s="49"/>
    </row>
    <row r="1514" spans="1:5">
      <c r="A1514" s="48" t="s">
        <v>1381</v>
      </c>
      <c r="B1514" s="16">
        <v>1</v>
      </c>
      <c r="C1514" s="16" t="s">
        <v>1437</v>
      </c>
      <c r="D1514" s="92">
        <v>0</v>
      </c>
      <c r="E1514" s="49"/>
    </row>
    <row r="1515" spans="1:5">
      <c r="A1515" s="48" t="s">
        <v>1369</v>
      </c>
      <c r="B1515" s="16">
        <v>1</v>
      </c>
      <c r="C1515" s="16" t="s">
        <v>1434</v>
      </c>
      <c r="D1515" s="92">
        <v>0</v>
      </c>
      <c r="E1515" s="49"/>
    </row>
    <row r="1516" spans="1:5">
      <c r="A1516" s="48" t="s">
        <v>1393</v>
      </c>
      <c r="B1516" s="16">
        <v>1</v>
      </c>
      <c r="C1516" s="102" t="s">
        <v>1440</v>
      </c>
      <c r="D1516" s="92">
        <v>0</v>
      </c>
      <c r="E1516" s="49"/>
    </row>
    <row r="1517" spans="1:5">
      <c r="A1517" s="48" t="s">
        <v>1256</v>
      </c>
      <c r="B1517" s="16">
        <v>1</v>
      </c>
      <c r="C1517" s="16" t="s">
        <v>1413</v>
      </c>
      <c r="D1517" s="92">
        <v>0</v>
      </c>
      <c r="E1517" s="49" t="s">
        <v>2114</v>
      </c>
    </row>
    <row r="1518" spans="1:5">
      <c r="A1518" s="48" t="s">
        <v>1349</v>
      </c>
      <c r="B1518" s="16">
        <v>1</v>
      </c>
      <c r="C1518" s="16" t="s">
        <v>1431</v>
      </c>
      <c r="D1518" s="92">
        <v>0</v>
      </c>
      <c r="E1518" s="49"/>
    </row>
    <row r="1519" spans="1:5">
      <c r="A1519" s="48" t="s">
        <v>1370</v>
      </c>
      <c r="B1519" s="16">
        <v>1</v>
      </c>
      <c r="C1519" s="16" t="s">
        <v>1434</v>
      </c>
      <c r="D1519" s="92">
        <v>0</v>
      </c>
      <c r="E1519" s="49"/>
    </row>
    <row r="1520" spans="1:5">
      <c r="A1520" s="48" t="s">
        <v>1394</v>
      </c>
      <c r="B1520" s="16">
        <v>1</v>
      </c>
      <c r="C1520" s="102" t="s">
        <v>1440</v>
      </c>
      <c r="D1520" s="92">
        <v>0</v>
      </c>
      <c r="E1520" s="49"/>
    </row>
    <row r="1521" spans="1:5">
      <c r="A1521" s="48" t="s">
        <v>1362</v>
      </c>
      <c r="B1521" s="16">
        <v>1</v>
      </c>
      <c r="C1521" s="16" t="s">
        <v>1443</v>
      </c>
      <c r="D1521" s="92">
        <v>0</v>
      </c>
      <c r="E1521" s="49"/>
    </row>
    <row r="1522" spans="1:5">
      <c r="A1522" s="48" t="s">
        <v>1313</v>
      </c>
      <c r="B1522" s="16">
        <v>1</v>
      </c>
      <c r="C1522" s="16" t="s">
        <v>1420</v>
      </c>
      <c r="D1522" s="92">
        <v>0</v>
      </c>
      <c r="E1522" s="49"/>
    </row>
    <row r="1523" spans="1:5">
      <c r="A1523" s="48" t="s">
        <v>1384</v>
      </c>
      <c r="B1523" s="16">
        <v>1</v>
      </c>
      <c r="C1523" s="16" t="s">
        <v>1439</v>
      </c>
      <c r="D1523" s="92">
        <v>0</v>
      </c>
      <c r="E1523" s="49"/>
    </row>
    <row r="1524" spans="1:5">
      <c r="A1524" s="48" t="s">
        <v>1395</v>
      </c>
      <c r="B1524" s="16">
        <v>1</v>
      </c>
      <c r="C1524" s="102" t="s">
        <v>1440</v>
      </c>
      <c r="D1524" s="92">
        <v>0</v>
      </c>
      <c r="E1524" s="49"/>
    </row>
    <row r="1525" spans="1:5">
      <c r="A1525" s="48" t="s">
        <v>1295</v>
      </c>
      <c r="B1525" s="16">
        <v>1</v>
      </c>
      <c r="C1525" s="16" t="s">
        <v>1418</v>
      </c>
      <c r="D1525" s="92">
        <v>0</v>
      </c>
      <c r="E1525" s="49"/>
    </row>
    <row r="1526" spans="1:5">
      <c r="A1526" s="48" t="s">
        <v>1343</v>
      </c>
      <c r="B1526" s="16">
        <v>1</v>
      </c>
      <c r="C1526" s="16" t="s">
        <v>1428</v>
      </c>
      <c r="D1526" s="92">
        <v>0</v>
      </c>
      <c r="E1526" s="49"/>
    </row>
    <row r="1527" spans="1:5">
      <c r="A1527" s="48" t="s">
        <v>1258</v>
      </c>
      <c r="B1527" s="16">
        <v>1</v>
      </c>
      <c r="C1527" s="16" t="s">
        <v>1413</v>
      </c>
      <c r="D1527" s="92">
        <v>0</v>
      </c>
      <c r="E1527" s="49"/>
    </row>
    <row r="1528" spans="1:5">
      <c r="A1528" s="48" t="s">
        <v>1253</v>
      </c>
      <c r="B1528" s="16">
        <v>1</v>
      </c>
      <c r="C1528" s="16" t="s">
        <v>1412</v>
      </c>
      <c r="D1528" s="92">
        <v>0</v>
      </c>
      <c r="E1528" s="49"/>
    </row>
    <row r="1529" spans="1:5">
      <c r="A1529" s="48" t="s">
        <v>1371</v>
      </c>
      <c r="B1529" s="16">
        <v>1</v>
      </c>
      <c r="C1529" s="16" t="s">
        <v>1434</v>
      </c>
      <c r="D1529" s="92">
        <v>0</v>
      </c>
      <c r="E1529" s="49"/>
    </row>
    <row r="1530" spans="1:5">
      <c r="A1530" s="48" t="s">
        <v>1396</v>
      </c>
      <c r="B1530" s="16">
        <v>1</v>
      </c>
      <c r="C1530" s="102" t="s">
        <v>1440</v>
      </c>
      <c r="D1530" s="92">
        <v>0</v>
      </c>
      <c r="E1530" s="49"/>
    </row>
    <row r="1531" spans="1:5">
      <c r="A1531" s="48" t="s">
        <v>1372</v>
      </c>
      <c r="B1531" s="16">
        <v>1</v>
      </c>
      <c r="C1531" s="16" t="s">
        <v>1434</v>
      </c>
      <c r="D1531" s="92">
        <v>0</v>
      </c>
      <c r="E1531" s="49"/>
    </row>
    <row r="1532" spans="1:5">
      <c r="A1532" s="48" t="s">
        <v>1365</v>
      </c>
      <c r="B1532" s="16">
        <v>1</v>
      </c>
      <c r="C1532" s="16" t="s">
        <v>1433</v>
      </c>
      <c r="D1532" s="92">
        <v>0</v>
      </c>
      <c r="E1532" s="49"/>
    </row>
    <row r="1533" spans="1:5">
      <c r="A1533" s="48" t="s">
        <v>1376</v>
      </c>
      <c r="B1533" s="16">
        <v>1</v>
      </c>
      <c r="C1533" s="16" t="s">
        <v>1435</v>
      </c>
      <c r="D1533" s="92">
        <v>0</v>
      </c>
      <c r="E1533" s="49"/>
    </row>
    <row r="1534" spans="1:5">
      <c r="A1534" s="48" t="s">
        <v>1373</v>
      </c>
      <c r="B1534" s="16"/>
      <c r="C1534" s="16" t="s">
        <v>1434</v>
      </c>
      <c r="D1534" s="92">
        <v>0</v>
      </c>
      <c r="E1534" s="49"/>
    </row>
    <row r="1535" spans="1:5">
      <c r="A1535" s="48" t="s">
        <v>1397</v>
      </c>
      <c r="B1535" s="16">
        <v>1</v>
      </c>
      <c r="C1535" s="102" t="s">
        <v>1440</v>
      </c>
      <c r="D1535" s="92">
        <v>0</v>
      </c>
      <c r="E1535" s="49"/>
    </row>
    <row r="1536" spans="1:5">
      <c r="A1536" s="48" t="s">
        <v>1366</v>
      </c>
      <c r="B1536" s="16"/>
      <c r="C1536" s="16" t="s">
        <v>1433</v>
      </c>
      <c r="D1536" s="92">
        <v>0</v>
      </c>
      <c r="E1536" s="49" t="s">
        <v>2975</v>
      </c>
    </row>
    <row r="1537" spans="1:5">
      <c r="A1537" s="48" t="s">
        <v>1309</v>
      </c>
      <c r="B1537" s="16">
        <v>1</v>
      </c>
      <c r="C1537" s="16" t="s">
        <v>1419</v>
      </c>
      <c r="D1537" s="92">
        <v>0</v>
      </c>
      <c r="E1537" s="49"/>
    </row>
    <row r="1538" spans="1:5">
      <c r="A1538" s="48" t="s">
        <v>1379</v>
      </c>
      <c r="B1538" s="16">
        <v>1</v>
      </c>
      <c r="C1538" s="16" t="s">
        <v>1436</v>
      </c>
      <c r="D1538" s="92">
        <v>0</v>
      </c>
      <c r="E1538" s="49"/>
    </row>
    <row r="1539" spans="1:5">
      <c r="A1539" s="48" t="s">
        <v>1350</v>
      </c>
      <c r="B1539" s="16">
        <v>1</v>
      </c>
      <c r="C1539" s="16" t="s">
        <v>1431</v>
      </c>
      <c r="D1539" s="92">
        <v>0</v>
      </c>
      <c r="E1539" s="49"/>
    </row>
    <row r="1540" spans="1:5">
      <c r="A1540" s="48" t="s">
        <v>1334</v>
      </c>
      <c r="B1540" s="16">
        <v>1</v>
      </c>
      <c r="C1540" s="16" t="s">
        <v>1425</v>
      </c>
      <c r="D1540" s="92">
        <v>0</v>
      </c>
      <c r="E1540" s="49"/>
    </row>
    <row r="1541" spans="1:5">
      <c r="A1541" s="48" t="s">
        <v>1398</v>
      </c>
      <c r="B1541" s="16">
        <v>1</v>
      </c>
      <c r="C1541" s="102" t="s">
        <v>1440</v>
      </c>
      <c r="D1541" s="92">
        <v>0</v>
      </c>
      <c r="E1541" s="49"/>
    </row>
    <row r="1542" spans="1:5">
      <c r="A1542" s="48" t="s">
        <v>1363</v>
      </c>
      <c r="B1542" s="16"/>
      <c r="C1542" s="16" t="s">
        <v>1443</v>
      </c>
      <c r="D1542" s="92">
        <v>0</v>
      </c>
      <c r="E1542" s="49"/>
    </row>
    <row r="1543" spans="1:5">
      <c r="A1543" s="48" t="s">
        <v>1259</v>
      </c>
      <c r="B1543" s="16">
        <v>1</v>
      </c>
      <c r="C1543" s="16" t="s">
        <v>1413</v>
      </c>
      <c r="D1543" s="92">
        <v>0</v>
      </c>
      <c r="E1543" s="49"/>
    </row>
    <row r="1544" spans="1:5">
      <c r="A1544" s="48" t="s">
        <v>1374</v>
      </c>
      <c r="B1544" s="16">
        <v>1</v>
      </c>
      <c r="C1544" s="16" t="s">
        <v>1434</v>
      </c>
      <c r="D1544" s="92">
        <v>0</v>
      </c>
      <c r="E1544" s="49"/>
    </row>
    <row r="1545" spans="1:5">
      <c r="A1545" s="48" t="s">
        <v>1260</v>
      </c>
      <c r="B1545" s="16">
        <v>1</v>
      </c>
      <c r="C1545" s="16" t="s">
        <v>1413</v>
      </c>
      <c r="D1545" s="92">
        <v>0</v>
      </c>
      <c r="E1545" s="49"/>
    </row>
    <row r="1546" spans="1:5">
      <c r="A1546" s="48" t="s">
        <v>1250</v>
      </c>
      <c r="B1546" s="16">
        <v>1</v>
      </c>
      <c r="C1546" s="16" t="s">
        <v>1411</v>
      </c>
      <c r="D1546" s="92">
        <v>0</v>
      </c>
      <c r="E1546" s="49"/>
    </row>
    <row r="1547" spans="1:5">
      <c r="A1547" s="48" t="s">
        <v>1351</v>
      </c>
      <c r="B1547" s="16">
        <v>1</v>
      </c>
      <c r="C1547" s="16" t="s">
        <v>1431</v>
      </c>
      <c r="D1547" s="92">
        <v>0</v>
      </c>
      <c r="E1547" s="49"/>
    </row>
    <row r="1548" spans="1:5">
      <c r="A1548" s="48" t="s">
        <v>1286</v>
      </c>
      <c r="B1548" s="16">
        <v>1</v>
      </c>
      <c r="C1548" s="16" t="s">
        <v>1416</v>
      </c>
      <c r="D1548" s="92">
        <v>0</v>
      </c>
      <c r="E1548" s="49"/>
    </row>
    <row r="1549" spans="1:5">
      <c r="A1549" s="48" t="s">
        <v>1367</v>
      </c>
      <c r="B1549" s="16">
        <v>1</v>
      </c>
      <c r="C1549" s="16" t="s">
        <v>1433</v>
      </c>
      <c r="D1549" s="92">
        <v>0</v>
      </c>
      <c r="E1549" s="49"/>
    </row>
    <row r="1550" spans="1:5">
      <c r="A1550" s="48" t="s">
        <v>1352</v>
      </c>
      <c r="B1550" s="16">
        <v>1</v>
      </c>
      <c r="C1550" s="16" t="s">
        <v>1431</v>
      </c>
      <c r="D1550" s="92">
        <v>0</v>
      </c>
      <c r="E1550" s="49"/>
    </row>
    <row r="1551" spans="1:5">
      <c r="A1551" s="48" t="s">
        <v>1262</v>
      </c>
      <c r="B1551" s="16">
        <v>1</v>
      </c>
      <c r="C1551" s="16" t="s">
        <v>1413</v>
      </c>
      <c r="D1551" s="92">
        <v>0</v>
      </c>
      <c r="E1551" s="49"/>
    </row>
    <row r="1552" spans="1:5">
      <c r="A1552" s="48" t="s">
        <v>97</v>
      </c>
      <c r="B1552" s="16">
        <v>1</v>
      </c>
      <c r="C1552" s="16" t="s">
        <v>1413</v>
      </c>
      <c r="D1552" s="92">
        <v>0</v>
      </c>
      <c r="E1552" s="49"/>
    </row>
    <row r="1553" spans="1:5">
      <c r="A1553" s="48" t="s">
        <v>1378</v>
      </c>
      <c r="B1553" s="16">
        <v>1</v>
      </c>
      <c r="C1553" s="16" t="s">
        <v>1435</v>
      </c>
      <c r="D1553" s="92">
        <v>0</v>
      </c>
      <c r="E1553" s="49"/>
    </row>
    <row r="1554" spans="1:5">
      <c r="A1554" s="48" t="s">
        <v>1296</v>
      </c>
      <c r="B1554" s="16">
        <v>1</v>
      </c>
      <c r="C1554" s="16" t="s">
        <v>1418</v>
      </c>
      <c r="D1554" s="92">
        <v>0</v>
      </c>
      <c r="E1554" s="49"/>
    </row>
    <row r="1555" spans="1:5">
      <c r="A1555" s="48" t="s">
        <v>1403</v>
      </c>
      <c r="B1555" s="16">
        <v>1</v>
      </c>
      <c r="C1555" s="102" t="s">
        <v>1440</v>
      </c>
      <c r="D1555" s="92">
        <v>0</v>
      </c>
      <c r="E1555" s="49"/>
    </row>
    <row r="1556" spans="1:5">
      <c r="A1556" s="48" t="s">
        <v>1385</v>
      </c>
      <c r="B1556" s="16"/>
      <c r="C1556" s="16" t="s">
        <v>1439</v>
      </c>
      <c r="D1556" s="92">
        <v>0</v>
      </c>
      <c r="E1556" s="49"/>
    </row>
    <row r="1557" spans="1:5">
      <c r="A1557" s="48" t="s">
        <v>1297</v>
      </c>
      <c r="B1557" s="16">
        <v>1</v>
      </c>
      <c r="C1557" s="16" t="s">
        <v>1418</v>
      </c>
      <c r="D1557" s="92">
        <v>0</v>
      </c>
      <c r="E1557" s="49"/>
    </row>
    <row r="1558" spans="1:5">
      <c r="A1558" s="48" t="s">
        <v>1279</v>
      </c>
      <c r="B1558" s="16">
        <v>1</v>
      </c>
      <c r="C1558" s="16" t="s">
        <v>1441</v>
      </c>
      <c r="D1558" s="92">
        <v>0</v>
      </c>
      <c r="E1558" s="49"/>
    </row>
    <row r="1559" spans="1:5">
      <c r="A1559" s="48" t="s">
        <v>1335</v>
      </c>
      <c r="B1559" s="16">
        <v>1</v>
      </c>
      <c r="C1559" s="16" t="s">
        <v>1425</v>
      </c>
      <c r="D1559" s="92">
        <v>0</v>
      </c>
      <c r="E1559" s="49"/>
    </row>
    <row r="1560" spans="1:5">
      <c r="A1560" s="48" t="s">
        <v>1329</v>
      </c>
      <c r="B1560" s="16">
        <v>1</v>
      </c>
      <c r="C1560" s="16" t="s">
        <v>1422</v>
      </c>
      <c r="D1560" s="92">
        <v>0</v>
      </c>
      <c r="E1560" s="49"/>
    </row>
    <row r="1561" spans="1:5">
      <c r="A1561" s="48" t="s">
        <v>1298</v>
      </c>
      <c r="B1561" s="16">
        <v>1</v>
      </c>
      <c r="C1561" s="16" t="s">
        <v>1418</v>
      </c>
      <c r="D1561" s="92">
        <v>0</v>
      </c>
      <c r="E1561" s="49"/>
    </row>
    <row r="1562" spans="1:5">
      <c r="A1562" s="48" t="s">
        <v>1386</v>
      </c>
      <c r="B1562" s="16">
        <v>1</v>
      </c>
      <c r="C1562" s="16" t="s">
        <v>1439</v>
      </c>
      <c r="D1562" s="92">
        <v>0</v>
      </c>
      <c r="E1562" s="49"/>
    </row>
    <row r="1563" spans="1:5">
      <c r="A1563" s="48" t="s">
        <v>1263</v>
      </c>
      <c r="B1563" s="16">
        <v>1</v>
      </c>
      <c r="C1563" s="16" t="s">
        <v>1413</v>
      </c>
      <c r="D1563" s="92">
        <v>0</v>
      </c>
      <c r="E1563" s="49"/>
    </row>
    <row r="1564" spans="1:5">
      <c r="A1564" s="48" t="s">
        <v>1337</v>
      </c>
      <c r="B1564" s="16">
        <v>1</v>
      </c>
      <c r="C1564" s="16" t="s">
        <v>1426</v>
      </c>
      <c r="D1564" s="92">
        <v>0</v>
      </c>
      <c r="E1564" s="49"/>
    </row>
    <row r="1565" spans="1:5">
      <c r="A1565" s="48" t="s">
        <v>1345</v>
      </c>
      <c r="B1565" s="16">
        <v>1</v>
      </c>
      <c r="C1565" s="16" t="s">
        <v>1429</v>
      </c>
      <c r="D1565" s="92">
        <v>0</v>
      </c>
      <c r="E1565" s="49"/>
    </row>
    <row r="1566" spans="1:5">
      <c r="A1566" s="48" t="s">
        <v>1359</v>
      </c>
      <c r="B1566" s="16">
        <v>1</v>
      </c>
      <c r="C1566" s="16" t="s">
        <v>1432</v>
      </c>
      <c r="D1566" s="92">
        <v>0</v>
      </c>
      <c r="E1566" s="49"/>
    </row>
    <row r="1567" spans="1:5">
      <c r="A1567" s="48" t="s">
        <v>1332</v>
      </c>
      <c r="B1567" s="16">
        <v>1</v>
      </c>
      <c r="C1567" s="16" t="s">
        <v>1424</v>
      </c>
      <c r="D1567" s="92">
        <v>0</v>
      </c>
      <c r="E1567" s="49"/>
    </row>
    <row r="1568" spans="1:5">
      <c r="A1568" s="48" t="s">
        <v>1333</v>
      </c>
      <c r="B1568" s="16">
        <v>1</v>
      </c>
      <c r="C1568" s="16" t="s">
        <v>1424</v>
      </c>
      <c r="D1568" s="92">
        <v>0</v>
      </c>
      <c r="E1568" s="49"/>
    </row>
    <row r="1569" spans="1:5">
      <c r="A1569" s="48" t="s">
        <v>1299</v>
      </c>
      <c r="B1569" s="16">
        <v>1</v>
      </c>
      <c r="C1569" s="16" t="s">
        <v>1418</v>
      </c>
      <c r="D1569" s="92">
        <v>0</v>
      </c>
      <c r="E1569" s="49"/>
    </row>
    <row r="1570" spans="1:5">
      <c r="A1570" s="48" t="s">
        <v>1265</v>
      </c>
      <c r="B1570" s="16">
        <v>1</v>
      </c>
      <c r="C1570" s="16" t="s">
        <v>1413</v>
      </c>
      <c r="D1570" s="92">
        <v>0</v>
      </c>
      <c r="E1570" s="49"/>
    </row>
    <row r="1571" spans="1:5">
      <c r="A1571" s="48" t="s">
        <v>1281</v>
      </c>
      <c r="B1571" s="16">
        <v>1</v>
      </c>
      <c r="C1571" s="16" t="s">
        <v>1414</v>
      </c>
      <c r="D1571" s="92">
        <v>0</v>
      </c>
      <c r="E1571" s="49"/>
    </row>
    <row r="1572" spans="1:5">
      <c r="A1572" s="48" t="s">
        <v>1300</v>
      </c>
      <c r="B1572" s="16">
        <v>1</v>
      </c>
      <c r="C1572" s="16" t="s">
        <v>1418</v>
      </c>
      <c r="D1572" s="92">
        <v>0</v>
      </c>
      <c r="E1572" s="49"/>
    </row>
    <row r="1573" spans="1:5">
      <c r="A1573" s="48" t="s">
        <v>1330</v>
      </c>
      <c r="B1573" s="16">
        <v>1</v>
      </c>
      <c r="C1573" s="16" t="s">
        <v>1423</v>
      </c>
      <c r="D1573" s="92">
        <v>0</v>
      </c>
      <c r="E1573" s="49"/>
    </row>
    <row r="1574" spans="1:5">
      <c r="A1574" s="48" t="s">
        <v>1346</v>
      </c>
      <c r="B1574" s="16">
        <v>1</v>
      </c>
      <c r="C1574" s="16" t="s">
        <v>1429</v>
      </c>
      <c r="D1574" s="92">
        <v>0</v>
      </c>
      <c r="E1574" s="49"/>
    </row>
    <row r="1575" spans="1:5">
      <c r="A1575" s="48" t="s">
        <v>1387</v>
      </c>
      <c r="B1575" s="16">
        <v>1</v>
      </c>
      <c r="C1575" s="16" t="s">
        <v>1439</v>
      </c>
      <c r="D1575" s="92">
        <v>0</v>
      </c>
      <c r="E1575" s="49"/>
    </row>
    <row r="1576" spans="1:5">
      <c r="A1576" s="48" t="s">
        <v>1353</v>
      </c>
      <c r="B1576" s="16">
        <v>1</v>
      </c>
      <c r="C1576" s="16" t="s">
        <v>1431</v>
      </c>
      <c r="D1576" s="92">
        <v>0</v>
      </c>
      <c r="E1576" s="49"/>
    </row>
    <row r="1577" spans="1:5">
      <c r="A1577" s="48" t="s">
        <v>1244</v>
      </c>
      <c r="B1577" s="16">
        <v>1</v>
      </c>
      <c r="C1577" s="16" t="s">
        <v>1413</v>
      </c>
      <c r="D1577" s="92">
        <v>0</v>
      </c>
      <c r="E1577" s="49"/>
    </row>
    <row r="1578" spans="1:5">
      <c r="A1578" s="48" t="s">
        <v>1301</v>
      </c>
      <c r="B1578" s="16">
        <v>1</v>
      </c>
      <c r="C1578" s="16" t="s">
        <v>1418</v>
      </c>
      <c r="D1578" s="92">
        <v>0</v>
      </c>
      <c r="E1578" s="49"/>
    </row>
    <row r="1579" spans="1:5">
      <c r="A1579" s="48" t="s">
        <v>1310</v>
      </c>
      <c r="B1579" s="16">
        <v>1</v>
      </c>
      <c r="C1579" s="16" t="s">
        <v>1419</v>
      </c>
      <c r="D1579" s="92">
        <v>0</v>
      </c>
      <c r="E1579" s="49"/>
    </row>
    <row r="1580" spans="1:5">
      <c r="A1580" s="48" t="s">
        <v>1354</v>
      </c>
      <c r="B1580" s="16">
        <v>1</v>
      </c>
      <c r="C1580" s="16" t="s">
        <v>1431</v>
      </c>
      <c r="D1580" s="92">
        <v>0</v>
      </c>
      <c r="E1580" s="49"/>
    </row>
    <row r="1581" spans="1:5">
      <c r="A1581" s="48" t="s">
        <v>1342</v>
      </c>
      <c r="B1581" s="16">
        <v>1</v>
      </c>
      <c r="C1581" s="16" t="s">
        <v>1428</v>
      </c>
      <c r="D1581" s="92">
        <v>0</v>
      </c>
      <c r="E1581" s="49"/>
    </row>
    <row r="1582" spans="1:5">
      <c r="A1582" s="48" t="s">
        <v>1347</v>
      </c>
      <c r="B1582" s="16">
        <v>1</v>
      </c>
      <c r="C1582" s="16" t="s">
        <v>1429</v>
      </c>
      <c r="D1582" s="92">
        <v>0</v>
      </c>
      <c r="E1582" s="49"/>
    </row>
    <row r="1583" spans="1:5">
      <c r="A1583" s="48" t="s">
        <v>1308</v>
      </c>
      <c r="B1583" s="16">
        <v>1</v>
      </c>
      <c r="C1583" s="16" t="s">
        <v>1419</v>
      </c>
      <c r="D1583" s="92">
        <v>0</v>
      </c>
      <c r="E1583" s="49"/>
    </row>
    <row r="1584" spans="1:5">
      <c r="A1584" s="48" t="s">
        <v>1407</v>
      </c>
      <c r="B1584" s="16">
        <v>1</v>
      </c>
      <c r="C1584" s="102" t="s">
        <v>1440</v>
      </c>
      <c r="D1584" s="92">
        <v>0</v>
      </c>
      <c r="E1584" s="49"/>
    </row>
    <row r="1585" spans="1:5">
      <c r="A1585" s="48" t="s">
        <v>1314</v>
      </c>
      <c r="B1585" s="16">
        <v>1</v>
      </c>
      <c r="C1585" s="16" t="s">
        <v>1420</v>
      </c>
      <c r="D1585" s="92">
        <v>0</v>
      </c>
      <c r="E1585" s="49"/>
    </row>
    <row r="1586" spans="1:5">
      <c r="A1586" s="48" t="s">
        <v>1331</v>
      </c>
      <c r="B1586" s="16">
        <v>1</v>
      </c>
      <c r="C1586" s="16" t="s">
        <v>1423</v>
      </c>
      <c r="D1586" s="92">
        <v>0</v>
      </c>
      <c r="E1586" s="49"/>
    </row>
    <row r="1587" spans="1:5">
      <c r="A1587" s="48" t="s">
        <v>1270</v>
      </c>
      <c r="B1587" s="16">
        <v>1</v>
      </c>
      <c r="C1587" s="16" t="s">
        <v>1413</v>
      </c>
      <c r="D1587" s="92">
        <v>0</v>
      </c>
      <c r="E1587" s="49"/>
    </row>
    <row r="1588" spans="1:5">
      <c r="A1588" s="48" t="s">
        <v>1406</v>
      </c>
      <c r="B1588" s="16">
        <v>1</v>
      </c>
      <c r="C1588" s="102" t="s">
        <v>1440</v>
      </c>
      <c r="D1588" s="92">
        <v>0</v>
      </c>
      <c r="E1588" s="49"/>
    </row>
    <row r="1589" spans="1:5">
      <c r="A1589" s="48" t="s">
        <v>1315</v>
      </c>
      <c r="B1589" s="16">
        <v>1</v>
      </c>
      <c r="C1589" s="16" t="s">
        <v>1420</v>
      </c>
      <c r="D1589" s="92">
        <v>0</v>
      </c>
      <c r="E1589" s="49"/>
    </row>
    <row r="1590" spans="1:5">
      <c r="A1590" s="48" t="s">
        <v>1316</v>
      </c>
      <c r="B1590" s="16">
        <v>1</v>
      </c>
      <c r="C1590" s="16" t="s">
        <v>1420</v>
      </c>
      <c r="D1590" s="92">
        <v>0</v>
      </c>
      <c r="E1590" s="103"/>
    </row>
    <row r="1591" spans="1:5">
      <c r="A1591" s="48" t="s">
        <v>1302</v>
      </c>
      <c r="B1591" s="16">
        <v>1</v>
      </c>
      <c r="C1591" s="16" t="s">
        <v>1418</v>
      </c>
      <c r="D1591" s="92">
        <v>0</v>
      </c>
      <c r="E1591" s="49" t="s">
        <v>11</v>
      </c>
    </row>
    <row r="1592" spans="1:5">
      <c r="A1592" s="48" t="s">
        <v>1311</v>
      </c>
      <c r="B1592" s="16">
        <v>1</v>
      </c>
      <c r="C1592" s="16" t="s">
        <v>1419</v>
      </c>
      <c r="D1592" s="92">
        <v>0</v>
      </c>
      <c r="E1592" s="103"/>
    </row>
    <row r="1593" spans="1:5">
      <c r="A1593" s="48" t="s">
        <v>1268</v>
      </c>
      <c r="B1593" s="16">
        <v>1</v>
      </c>
      <c r="C1593" s="16" t="s">
        <v>1413</v>
      </c>
      <c r="D1593" s="92">
        <v>0</v>
      </c>
      <c r="E1593" s="49"/>
    </row>
    <row r="1594" spans="1:5">
      <c r="A1594" s="48" t="s">
        <v>1269</v>
      </c>
      <c r="B1594" s="16">
        <v>1</v>
      </c>
      <c r="C1594" s="16" t="s">
        <v>1413</v>
      </c>
      <c r="D1594" s="92">
        <v>0</v>
      </c>
      <c r="E1594" s="103"/>
    </row>
    <row r="1595" spans="1:5">
      <c r="A1595" s="48" t="s">
        <v>1338</v>
      </c>
      <c r="B1595" s="16">
        <v>1</v>
      </c>
      <c r="C1595" s="16" t="s">
        <v>1427</v>
      </c>
      <c r="D1595" s="92">
        <v>0</v>
      </c>
      <c r="E1595" s="49"/>
    </row>
    <row r="1596" spans="1:5">
      <c r="A1596" s="48" t="s">
        <v>1303</v>
      </c>
      <c r="B1596" s="16">
        <v>1</v>
      </c>
      <c r="C1596" s="16" t="s">
        <v>1418</v>
      </c>
      <c r="D1596" s="92">
        <v>0</v>
      </c>
      <c r="E1596" s="103"/>
    </row>
    <row r="1597" spans="1:5">
      <c r="A1597" s="48" t="s">
        <v>1355</v>
      </c>
      <c r="B1597" s="16">
        <v>1</v>
      </c>
      <c r="C1597" s="16" t="s">
        <v>1431</v>
      </c>
      <c r="D1597" s="92">
        <v>0</v>
      </c>
      <c r="E1597" s="49"/>
    </row>
    <row r="1598" spans="1:5">
      <c r="A1598" s="48" t="s">
        <v>1325</v>
      </c>
      <c r="B1598" s="16">
        <v>1</v>
      </c>
      <c r="C1598" s="16" t="s">
        <v>1421</v>
      </c>
      <c r="D1598" s="92">
        <v>0</v>
      </c>
      <c r="E1598" s="49"/>
    </row>
    <row r="1599" spans="1:5">
      <c r="A1599" s="48" t="s">
        <v>1388</v>
      </c>
      <c r="B1599" s="16"/>
      <c r="C1599" s="16" t="s">
        <v>1439</v>
      </c>
      <c r="D1599" s="92">
        <v>0</v>
      </c>
      <c r="E1599" s="49"/>
    </row>
    <row r="1600" spans="1:5">
      <c r="A1600" s="48" t="s">
        <v>1357</v>
      </c>
      <c r="B1600" s="16">
        <v>1</v>
      </c>
      <c r="C1600" s="16" t="s">
        <v>1431</v>
      </c>
      <c r="D1600" s="92">
        <v>0</v>
      </c>
      <c r="E1600" s="49"/>
    </row>
    <row r="1601" spans="1:5">
      <c r="A1601" s="48" t="s">
        <v>1271</v>
      </c>
      <c r="B1601" s="16">
        <v>1</v>
      </c>
      <c r="C1601" s="16" t="s">
        <v>1413</v>
      </c>
      <c r="D1601" s="92">
        <v>0</v>
      </c>
      <c r="E1601" s="103"/>
    </row>
    <row r="1602" spans="1:5">
      <c r="A1602" s="48" t="s">
        <v>1304</v>
      </c>
      <c r="B1602" s="16">
        <v>1</v>
      </c>
      <c r="C1602" s="16" t="s">
        <v>1418</v>
      </c>
      <c r="D1602" s="92">
        <v>0</v>
      </c>
      <c r="E1602" s="49"/>
    </row>
    <row r="1603" spans="1:5">
      <c r="A1603" s="48" t="s">
        <v>1344</v>
      </c>
      <c r="B1603" s="16">
        <v>1</v>
      </c>
      <c r="C1603" s="16" t="s">
        <v>1428</v>
      </c>
      <c r="D1603" s="92">
        <v>0</v>
      </c>
      <c r="E1603" s="49"/>
    </row>
    <row r="1604" spans="1:5">
      <c r="A1604" s="48" t="s">
        <v>1273</v>
      </c>
      <c r="B1604" s="16">
        <v>1</v>
      </c>
      <c r="C1604" s="16" t="s">
        <v>1413</v>
      </c>
      <c r="D1604" s="92">
        <v>0</v>
      </c>
      <c r="E1604" s="49"/>
    </row>
    <row r="1605" spans="1:5">
      <c r="A1605" s="48" t="s">
        <v>1293</v>
      </c>
      <c r="B1605" s="16">
        <v>1</v>
      </c>
      <c r="C1605" s="16" t="s">
        <v>1417</v>
      </c>
      <c r="D1605" s="92">
        <v>0</v>
      </c>
      <c r="E1605" s="49"/>
    </row>
    <row r="1606" spans="1:5">
      <c r="A1606" s="48" t="s">
        <v>1317</v>
      </c>
      <c r="B1606" s="16" t="s">
        <v>11</v>
      </c>
      <c r="C1606" s="16" t="s">
        <v>1420</v>
      </c>
      <c r="D1606" s="92">
        <v>0</v>
      </c>
      <c r="E1606" s="49"/>
    </row>
    <row r="1607" spans="1:5">
      <c r="A1607" s="48" t="s">
        <v>1356</v>
      </c>
      <c r="B1607" s="16">
        <v>1</v>
      </c>
      <c r="C1607" s="16" t="s">
        <v>1431</v>
      </c>
      <c r="D1607" s="92">
        <v>0</v>
      </c>
      <c r="E1607" s="49"/>
    </row>
    <row r="1608" spans="1:5">
      <c r="A1608" s="48" t="s">
        <v>1382</v>
      </c>
      <c r="B1608" s="16">
        <v>1</v>
      </c>
      <c r="C1608" s="16" t="s">
        <v>1438</v>
      </c>
      <c r="D1608" s="92">
        <v>0</v>
      </c>
      <c r="E1608" s="49"/>
    </row>
    <row r="1609" spans="1:5">
      <c r="A1609" s="48" t="s">
        <v>1294</v>
      </c>
      <c r="B1609" s="16">
        <v>1</v>
      </c>
      <c r="C1609" s="16" t="s">
        <v>1417</v>
      </c>
      <c r="D1609" s="92">
        <v>0</v>
      </c>
      <c r="E1609" s="49"/>
    </row>
    <row r="1610" spans="1:5">
      <c r="A1610" s="48" t="s">
        <v>1341</v>
      </c>
      <c r="B1610" s="16">
        <v>1</v>
      </c>
      <c r="C1610" s="16" t="s">
        <v>1427</v>
      </c>
      <c r="D1610" s="92">
        <v>0</v>
      </c>
      <c r="E1610" s="49"/>
    </row>
    <row r="1611" spans="1:5">
      <c r="A1611" s="48" t="s">
        <v>1389</v>
      </c>
      <c r="B1611" s="16">
        <v>1</v>
      </c>
      <c r="C1611" s="16" t="s">
        <v>1439</v>
      </c>
      <c r="D1611" s="92">
        <v>0</v>
      </c>
      <c r="E1611" s="49"/>
    </row>
    <row r="1612" spans="1:5">
      <c r="A1612" s="48" t="s">
        <v>1280</v>
      </c>
      <c r="B1612" s="16">
        <v>1</v>
      </c>
      <c r="C1612" s="16" t="s">
        <v>1441</v>
      </c>
      <c r="D1612" s="92">
        <v>0</v>
      </c>
      <c r="E1612" s="49"/>
    </row>
    <row r="1613" spans="1:5">
      <c r="A1613" s="48" t="s">
        <v>1380</v>
      </c>
      <c r="B1613" s="16">
        <v>1</v>
      </c>
      <c r="C1613" s="16" t="s">
        <v>1437</v>
      </c>
      <c r="D1613" s="92">
        <v>0</v>
      </c>
      <c r="E1613" s="49"/>
    </row>
    <row r="1614" spans="1:5">
      <c r="A1614" s="48" t="s">
        <v>1305</v>
      </c>
      <c r="B1614" s="16">
        <v>1</v>
      </c>
      <c r="C1614" s="16" t="s">
        <v>1418</v>
      </c>
      <c r="D1614" s="92">
        <v>0</v>
      </c>
      <c r="E1614" s="49"/>
    </row>
    <row r="1615" spans="1:5">
      <c r="A1615" s="48" t="s">
        <v>1364</v>
      </c>
      <c r="B1615" s="16">
        <v>1</v>
      </c>
      <c r="C1615" s="16" t="s">
        <v>1443</v>
      </c>
      <c r="D1615" s="92">
        <v>0</v>
      </c>
      <c r="E1615" s="49"/>
    </row>
    <row r="1616" spans="1:5">
      <c r="A1616" s="48" t="s">
        <v>1361</v>
      </c>
      <c r="B1616" s="16" t="s">
        <v>11</v>
      </c>
      <c r="C1616" s="16" t="s">
        <v>1432</v>
      </c>
      <c r="D1616" s="92">
        <v>0</v>
      </c>
      <c r="E1616" s="49"/>
    </row>
    <row r="1617" spans="1:5">
      <c r="A1617" s="48" t="s">
        <v>1339</v>
      </c>
      <c r="B1617" s="16">
        <v>1</v>
      </c>
      <c r="C1617" s="16" t="s">
        <v>1427</v>
      </c>
      <c r="D1617" s="92">
        <v>0</v>
      </c>
      <c r="E1617" s="49"/>
    </row>
    <row r="1618" spans="1:5">
      <c r="A1618" s="48" t="s">
        <v>1249</v>
      </c>
      <c r="B1618" s="16">
        <v>1</v>
      </c>
      <c r="C1618" s="16" t="s">
        <v>1410</v>
      </c>
      <c r="D1618" s="92">
        <v>0</v>
      </c>
      <c r="E1618" s="49"/>
    </row>
    <row r="1619" spans="1:5">
      <c r="A1619" s="48" t="s">
        <v>1276</v>
      </c>
      <c r="B1619" s="16">
        <v>1</v>
      </c>
      <c r="C1619" s="16" t="s">
        <v>1413</v>
      </c>
      <c r="D1619" s="92">
        <v>0</v>
      </c>
      <c r="E1619" s="49"/>
    </row>
    <row r="1620" spans="1:5">
      <c r="A1620" s="48" t="s">
        <v>1377</v>
      </c>
      <c r="B1620" s="16">
        <v>1</v>
      </c>
      <c r="C1620" s="16" t="s">
        <v>1435</v>
      </c>
      <c r="D1620" s="92">
        <v>0</v>
      </c>
      <c r="E1620" s="49"/>
    </row>
    <row r="1621" spans="1:5">
      <c r="A1621" s="48" t="s">
        <v>1288</v>
      </c>
      <c r="B1621" s="16">
        <v>1</v>
      </c>
      <c r="C1621" s="16" t="s">
        <v>1416</v>
      </c>
      <c r="D1621" s="92">
        <v>0</v>
      </c>
      <c r="E1621" s="49"/>
    </row>
    <row r="1622" spans="1:5">
      <c r="A1622" s="48" t="s">
        <v>1391</v>
      </c>
      <c r="B1622" s="16">
        <v>1</v>
      </c>
      <c r="C1622" s="16" t="s">
        <v>1439</v>
      </c>
      <c r="D1622" s="92">
        <v>0</v>
      </c>
      <c r="E1622" s="49"/>
    </row>
    <row r="1623" spans="1:5">
      <c r="A1623" s="48" t="s">
        <v>128</v>
      </c>
      <c r="B1623" s="16">
        <v>1</v>
      </c>
      <c r="C1623" s="16" t="s">
        <v>1413</v>
      </c>
      <c r="D1623" s="92">
        <v>0</v>
      </c>
      <c r="E1623" s="103"/>
    </row>
    <row r="1624" spans="1:5">
      <c r="A1624" s="48" t="s">
        <v>1306</v>
      </c>
      <c r="B1624" s="16">
        <v>1</v>
      </c>
      <c r="C1624" s="16" t="s">
        <v>1418</v>
      </c>
      <c r="D1624" s="92">
        <v>0</v>
      </c>
      <c r="E1624" s="49"/>
    </row>
    <row r="1625" spans="1:5">
      <c r="A1625" s="48" t="s">
        <v>1358</v>
      </c>
      <c r="B1625" s="16">
        <v>1</v>
      </c>
      <c r="C1625" s="16" t="s">
        <v>1431</v>
      </c>
      <c r="D1625" s="92">
        <v>0</v>
      </c>
      <c r="E1625" s="49"/>
    </row>
    <row r="1626" spans="1:5">
      <c r="A1626" s="48" t="s">
        <v>1307</v>
      </c>
      <c r="B1626" s="16">
        <v>1</v>
      </c>
      <c r="C1626" s="16" t="s">
        <v>1418</v>
      </c>
      <c r="D1626" s="92">
        <v>0</v>
      </c>
      <c r="E1626" s="103"/>
    </row>
    <row r="1627" spans="1:5">
      <c r="A1627" s="48" t="s">
        <v>1277</v>
      </c>
      <c r="B1627" s="16">
        <v>1</v>
      </c>
      <c r="C1627" s="16" t="s">
        <v>1413</v>
      </c>
      <c r="D1627" s="92">
        <v>0</v>
      </c>
      <c r="E1627" s="49"/>
    </row>
    <row r="1628" spans="1:5">
      <c r="A1628" s="48" t="b">
        <v>1</v>
      </c>
      <c r="B1628" s="16">
        <v>1</v>
      </c>
      <c r="C1628" s="16" t="s">
        <v>1435</v>
      </c>
      <c r="D1628" s="92">
        <v>0</v>
      </c>
      <c r="E1628" s="49"/>
    </row>
    <row r="1629" spans="1:5">
      <c r="A1629" s="48" t="s">
        <v>1261</v>
      </c>
      <c r="B1629" s="16">
        <v>1</v>
      </c>
      <c r="C1629" s="16" t="s">
        <v>1413</v>
      </c>
      <c r="D1629" s="92">
        <v>0</v>
      </c>
      <c r="E1629" s="49"/>
    </row>
    <row r="1630" spans="1:5">
      <c r="A1630" s="48" t="s">
        <v>1264</v>
      </c>
      <c r="B1630" s="16">
        <v>1</v>
      </c>
      <c r="C1630" s="16" t="s">
        <v>1413</v>
      </c>
      <c r="D1630" s="92">
        <v>0</v>
      </c>
      <c r="E1630" s="49"/>
    </row>
    <row r="1631" spans="1:5">
      <c r="A1631" s="48" t="s">
        <v>1291</v>
      </c>
      <c r="B1631" s="16">
        <v>1</v>
      </c>
      <c r="C1631" s="16" t="s">
        <v>1417</v>
      </c>
      <c r="D1631" s="92">
        <v>0</v>
      </c>
      <c r="E1631" s="49"/>
    </row>
    <row r="1632" spans="1:5">
      <c r="A1632" s="48" t="s">
        <v>1283</v>
      </c>
      <c r="B1632" s="16">
        <v>1</v>
      </c>
      <c r="C1632" s="16" t="s">
        <v>1415</v>
      </c>
      <c r="D1632" s="92">
        <v>0</v>
      </c>
      <c r="E1632" s="49"/>
    </row>
    <row r="1633" spans="1:5">
      <c r="A1633" s="48" t="s">
        <v>1405</v>
      </c>
      <c r="B1633" s="16">
        <v>1</v>
      </c>
      <c r="C1633" s="102" t="s">
        <v>1440</v>
      </c>
      <c r="D1633" s="92">
        <v>0</v>
      </c>
      <c r="E1633" s="49"/>
    </row>
    <row r="1634" spans="1:5">
      <c r="A1634" s="48" t="s">
        <v>1390</v>
      </c>
      <c r="B1634" s="16">
        <v>1</v>
      </c>
      <c r="C1634" s="16" t="s">
        <v>1439</v>
      </c>
      <c r="D1634" s="92">
        <v>0</v>
      </c>
      <c r="E1634" s="103"/>
    </row>
    <row r="1635" spans="1:5">
      <c r="A1635" s="48" t="s">
        <v>93</v>
      </c>
      <c r="B1635" s="16">
        <v>1</v>
      </c>
      <c r="C1635" s="16" t="s">
        <v>1413</v>
      </c>
      <c r="D1635" s="92">
        <v>0</v>
      </c>
      <c r="E1635" s="103" t="s">
        <v>11</v>
      </c>
    </row>
    <row r="1636" spans="1:5">
      <c r="A1636" s="48" t="s">
        <v>1278</v>
      </c>
      <c r="B1636" s="16">
        <v>1</v>
      </c>
      <c r="C1636" s="16" t="s">
        <v>1413</v>
      </c>
      <c r="D1636" s="92">
        <v>0</v>
      </c>
      <c r="E1636" s="49" t="s">
        <v>2976</v>
      </c>
    </row>
    <row r="1637" spans="1:5">
      <c r="A1637" s="48" t="s">
        <v>1320</v>
      </c>
      <c r="B1637" s="16" t="s">
        <v>11</v>
      </c>
      <c r="C1637" s="16" t="s">
        <v>1421</v>
      </c>
      <c r="D1637" s="92">
        <v>0</v>
      </c>
      <c r="E1637" s="49" t="s">
        <v>2982</v>
      </c>
    </row>
    <row r="1638" spans="1:5">
      <c r="A1638" s="48" t="s">
        <v>1327</v>
      </c>
      <c r="B1638" s="16"/>
      <c r="C1638" s="16" t="s">
        <v>1421</v>
      </c>
      <c r="D1638" s="92">
        <v>0</v>
      </c>
      <c r="E1638" s="49" t="s">
        <v>2982</v>
      </c>
    </row>
    <row r="1639" spans="1:5">
      <c r="A1639" s="48" t="s">
        <v>1254</v>
      </c>
      <c r="B1639" s="16">
        <v>1</v>
      </c>
      <c r="C1639" s="16" t="s">
        <v>1413</v>
      </c>
      <c r="D1639" s="92">
        <v>0</v>
      </c>
      <c r="E1639" s="49" t="s">
        <v>2985</v>
      </c>
    </row>
    <row r="1640" spans="1:5">
      <c r="A1640" s="48" t="s">
        <v>1324</v>
      </c>
      <c r="B1640" s="16"/>
      <c r="C1640" s="16" t="s">
        <v>1421</v>
      </c>
      <c r="D1640" s="92">
        <v>0</v>
      </c>
      <c r="E1640" s="49" t="s">
        <v>2986</v>
      </c>
    </row>
    <row r="1641" spans="1:5">
      <c r="A1641" s="48" t="s">
        <v>1292</v>
      </c>
      <c r="B1641" s="16"/>
      <c r="C1641" s="16" t="s">
        <v>1417</v>
      </c>
      <c r="D1641" s="92">
        <v>0</v>
      </c>
      <c r="E1641" s="49" t="s">
        <v>2986</v>
      </c>
    </row>
    <row r="1642" spans="1:5">
      <c r="A1642" s="48" t="s">
        <v>1383</v>
      </c>
      <c r="B1642" s="16">
        <v>1</v>
      </c>
      <c r="C1642" s="16" t="s">
        <v>1439</v>
      </c>
      <c r="D1642" s="16">
        <v>1</v>
      </c>
      <c r="E1642" s="49"/>
    </row>
    <row r="1643" spans="1:5">
      <c r="A1643" s="48" t="s">
        <v>1257</v>
      </c>
      <c r="B1643" s="16">
        <v>1</v>
      </c>
      <c r="C1643" s="16" t="s">
        <v>1413</v>
      </c>
      <c r="D1643" s="92">
        <v>1</v>
      </c>
      <c r="E1643" s="49" t="s">
        <v>2112</v>
      </c>
    </row>
    <row r="1644" spans="1:5">
      <c r="A1644" s="48" t="s">
        <v>1328</v>
      </c>
      <c r="B1644" s="16">
        <v>1</v>
      </c>
      <c r="C1644" s="16" t="s">
        <v>1421</v>
      </c>
      <c r="D1644" s="92">
        <v>1</v>
      </c>
      <c r="E1644" s="49" t="s">
        <v>2113</v>
      </c>
    </row>
    <row r="1645" spans="1:5">
      <c r="A1645" s="48" t="s">
        <v>1401</v>
      </c>
      <c r="B1645" s="16">
        <v>1</v>
      </c>
      <c r="C1645" s="102" t="s">
        <v>1440</v>
      </c>
      <c r="D1645" s="92">
        <v>1</v>
      </c>
      <c r="E1645" s="49"/>
    </row>
    <row r="1646" spans="1:5">
      <c r="A1646" s="48" t="s">
        <v>1282</v>
      </c>
      <c r="B1646" s="16">
        <v>1</v>
      </c>
      <c r="C1646" s="16" t="s">
        <v>1415</v>
      </c>
      <c r="D1646" s="92">
        <v>1</v>
      </c>
      <c r="E1646" s="49" t="s">
        <v>2115</v>
      </c>
    </row>
    <row r="1647" spans="1:5">
      <c r="A1647" s="48" t="s">
        <v>1266</v>
      </c>
      <c r="B1647" s="16">
        <v>1</v>
      </c>
      <c r="C1647" s="16" t="s">
        <v>1413</v>
      </c>
      <c r="D1647" s="92">
        <v>1</v>
      </c>
      <c r="E1647" s="49" t="s">
        <v>2116</v>
      </c>
    </row>
    <row r="1648" spans="1:5">
      <c r="A1648" s="48" t="s">
        <v>1267</v>
      </c>
      <c r="B1648" s="16">
        <v>1</v>
      </c>
      <c r="C1648" s="16" t="s">
        <v>1413</v>
      </c>
      <c r="D1648" s="92">
        <v>1</v>
      </c>
      <c r="E1648" s="49" t="s">
        <v>2116</v>
      </c>
    </row>
    <row r="1649" spans="1:5">
      <c r="A1649" s="48" t="s">
        <v>1251</v>
      </c>
      <c r="B1649" s="16">
        <v>1</v>
      </c>
      <c r="C1649" s="16" t="s">
        <v>1411</v>
      </c>
      <c r="D1649" s="92">
        <v>1</v>
      </c>
      <c r="E1649" s="103"/>
    </row>
    <row r="1650" spans="1:5">
      <c r="A1650" s="48" t="s">
        <v>1274</v>
      </c>
      <c r="B1650" s="16">
        <v>1</v>
      </c>
      <c r="C1650" s="16" t="s">
        <v>1413</v>
      </c>
      <c r="D1650" s="92">
        <v>1</v>
      </c>
      <c r="E1650" s="49" t="s">
        <v>2116</v>
      </c>
    </row>
    <row r="1651" spans="1:5">
      <c r="A1651" s="48" t="s">
        <v>1275</v>
      </c>
      <c r="B1651" s="16">
        <v>1</v>
      </c>
      <c r="C1651" s="16" t="s">
        <v>1413</v>
      </c>
      <c r="D1651" s="92">
        <v>1</v>
      </c>
      <c r="E1651" s="49" t="s">
        <v>2116</v>
      </c>
    </row>
    <row r="1652" spans="1:5">
      <c r="A1652" s="48" t="s">
        <v>1392</v>
      </c>
      <c r="B1652" s="16">
        <v>1</v>
      </c>
      <c r="C1652" s="102" t="s">
        <v>1440</v>
      </c>
      <c r="D1652" s="92">
        <v>1</v>
      </c>
      <c r="E1652" s="49"/>
    </row>
    <row r="1653" spans="1:5">
      <c r="A1653" s="48" t="s">
        <v>90</v>
      </c>
      <c r="B1653" s="16">
        <v>1</v>
      </c>
      <c r="C1653" s="102" t="s">
        <v>1440</v>
      </c>
      <c r="D1653" s="92">
        <v>1</v>
      </c>
      <c r="E1653" s="103"/>
    </row>
    <row r="1654" spans="1:5">
      <c r="A1654" s="48" t="s">
        <v>1252</v>
      </c>
      <c r="B1654" s="16">
        <v>1</v>
      </c>
      <c r="C1654" s="16" t="s">
        <v>1412</v>
      </c>
      <c r="D1654" s="92">
        <v>1</v>
      </c>
      <c r="E1654" s="49"/>
    </row>
    <row r="1655" spans="1:5">
      <c r="A1655" s="48" t="s">
        <v>1318</v>
      </c>
      <c r="B1655" s="16">
        <v>1</v>
      </c>
      <c r="C1655" s="16" t="s">
        <v>1421</v>
      </c>
      <c r="D1655" s="92">
        <v>1</v>
      </c>
      <c r="E1655" s="49"/>
    </row>
    <row r="1656" spans="1:5">
      <c r="A1656" s="48" t="s">
        <v>1399</v>
      </c>
      <c r="B1656" s="16">
        <v>1</v>
      </c>
      <c r="C1656" s="102" t="s">
        <v>1440</v>
      </c>
      <c r="D1656" s="92">
        <v>1</v>
      </c>
      <c r="E1656" s="49"/>
    </row>
    <row r="1657" spans="1:5">
      <c r="A1657" s="48" t="s">
        <v>1400</v>
      </c>
      <c r="B1657" s="16">
        <v>1</v>
      </c>
      <c r="C1657" s="102" t="s">
        <v>1440</v>
      </c>
      <c r="D1657" s="92">
        <v>1</v>
      </c>
      <c r="E1657" s="49"/>
    </row>
    <row r="1658" spans="1:5">
      <c r="A1658" s="48" t="s">
        <v>1290</v>
      </c>
      <c r="B1658" s="16">
        <v>1</v>
      </c>
      <c r="C1658" s="16" t="s">
        <v>1417</v>
      </c>
      <c r="D1658" s="92">
        <v>1</v>
      </c>
      <c r="E1658" s="49"/>
    </row>
    <row r="1659" spans="1:5">
      <c r="A1659" s="48" t="s">
        <v>116</v>
      </c>
      <c r="B1659" s="16">
        <v>1</v>
      </c>
      <c r="C1659" s="16" t="s">
        <v>1434</v>
      </c>
      <c r="D1659" s="92">
        <v>1</v>
      </c>
      <c r="E1659" s="103"/>
    </row>
    <row r="1660" spans="1:5">
      <c r="A1660" s="48" t="s">
        <v>1402</v>
      </c>
      <c r="B1660" s="16">
        <v>1</v>
      </c>
      <c r="C1660" s="102" t="s">
        <v>1440</v>
      </c>
      <c r="D1660" s="92">
        <v>1</v>
      </c>
      <c r="E1660" s="49"/>
    </row>
    <row r="1661" spans="1:5">
      <c r="A1661" s="48" t="s">
        <v>1319</v>
      </c>
      <c r="B1661" s="16">
        <v>1</v>
      </c>
      <c r="C1661" s="16" t="s">
        <v>1421</v>
      </c>
      <c r="D1661" s="92">
        <v>1</v>
      </c>
      <c r="E1661" s="49"/>
    </row>
    <row r="1662" spans="1:5">
      <c r="A1662" s="48" t="s">
        <v>1242</v>
      </c>
      <c r="B1662" s="16">
        <v>1</v>
      </c>
      <c r="C1662" s="16" t="s">
        <v>1432</v>
      </c>
      <c r="D1662" s="92">
        <v>1</v>
      </c>
      <c r="E1662" s="49"/>
    </row>
    <row r="1663" spans="1:5">
      <c r="A1663" s="48" t="s">
        <v>1404</v>
      </c>
      <c r="B1663" s="16">
        <v>1</v>
      </c>
      <c r="C1663" s="102" t="s">
        <v>1440</v>
      </c>
      <c r="D1663" s="92">
        <v>1</v>
      </c>
      <c r="E1663" s="49"/>
    </row>
    <row r="1664" spans="1:5">
      <c r="A1664" s="48" t="s">
        <v>1287</v>
      </c>
      <c r="B1664" s="16">
        <v>1</v>
      </c>
      <c r="C1664" s="16" t="s">
        <v>1416</v>
      </c>
      <c r="D1664" s="92">
        <v>1</v>
      </c>
      <c r="E1664" s="49"/>
    </row>
    <row r="1665" spans="1:5">
      <c r="A1665" s="48" t="s">
        <v>1321</v>
      </c>
      <c r="B1665" s="16">
        <v>1</v>
      </c>
      <c r="C1665" s="16" t="s">
        <v>1421</v>
      </c>
      <c r="D1665" s="92">
        <v>1</v>
      </c>
      <c r="E1665" s="49"/>
    </row>
    <row r="1666" spans="1:5">
      <c r="A1666" s="48" t="s">
        <v>1322</v>
      </c>
      <c r="B1666" s="16">
        <v>1</v>
      </c>
      <c r="C1666" s="16" t="s">
        <v>1421</v>
      </c>
      <c r="D1666" s="92">
        <v>1</v>
      </c>
      <c r="E1666" s="49"/>
    </row>
    <row r="1667" spans="1:5">
      <c r="A1667" s="48" t="s">
        <v>1323</v>
      </c>
      <c r="B1667" s="16">
        <v>1</v>
      </c>
      <c r="C1667" s="16" t="s">
        <v>1421</v>
      </c>
      <c r="D1667" s="92">
        <v>1</v>
      </c>
      <c r="E1667" s="49"/>
    </row>
    <row r="1668" spans="1:5">
      <c r="A1668" s="48" t="s">
        <v>1360</v>
      </c>
      <c r="B1668" s="16">
        <v>1</v>
      </c>
      <c r="C1668" s="16" t="s">
        <v>1432</v>
      </c>
      <c r="D1668" s="92">
        <v>1</v>
      </c>
      <c r="E1668" s="49"/>
    </row>
    <row r="1669" spans="1:5">
      <c r="A1669" s="48" t="s">
        <v>1336</v>
      </c>
      <c r="B1669" s="16">
        <v>1</v>
      </c>
      <c r="C1669" s="16" t="s">
        <v>1425</v>
      </c>
      <c r="D1669" s="92">
        <v>1</v>
      </c>
      <c r="E1669" s="49"/>
    </row>
    <row r="1670" spans="1:5">
      <c r="A1670" s="48" t="s">
        <v>89</v>
      </c>
      <c r="B1670" s="16">
        <v>1</v>
      </c>
      <c r="C1670" s="16" t="s">
        <v>1432</v>
      </c>
      <c r="D1670" s="92">
        <v>1</v>
      </c>
      <c r="E1670" s="49"/>
    </row>
    <row r="1671" spans="1:5">
      <c r="A1671" s="48" t="s">
        <v>694</v>
      </c>
      <c r="B1671" s="16">
        <v>1</v>
      </c>
      <c r="C1671" s="16" t="s">
        <v>1421</v>
      </c>
      <c r="D1671" s="92">
        <v>1</v>
      </c>
      <c r="E1671" s="49"/>
    </row>
    <row r="1672" spans="1:5">
      <c r="A1672" s="48" t="s">
        <v>1326</v>
      </c>
      <c r="B1672" s="16">
        <v>1</v>
      </c>
      <c r="C1672" s="16" t="s">
        <v>1421</v>
      </c>
      <c r="D1672" s="92">
        <v>1</v>
      </c>
      <c r="E1672" s="49"/>
    </row>
    <row r="1673" spans="1:5">
      <c r="A1673" s="48" t="s">
        <v>1272</v>
      </c>
      <c r="B1673" s="16">
        <v>1</v>
      </c>
      <c r="C1673" s="16" t="s">
        <v>1413</v>
      </c>
      <c r="D1673" s="92">
        <v>1</v>
      </c>
      <c r="E1673" s="49"/>
    </row>
    <row r="1674" spans="1:5" ht="16" thickBot="1">
      <c r="A1674" s="52"/>
      <c r="B1674" s="9" t="s">
        <v>11</v>
      </c>
      <c r="C1674" s="9" t="s">
        <v>11</v>
      </c>
      <c r="D1674" s="104"/>
      <c r="E1674" s="53"/>
    </row>
    <row r="1675" spans="1:5" ht="16" thickTop="1">
      <c r="D1675">
        <f>SUM(D1505:D1674)</f>
        <v>32</v>
      </c>
    </row>
    <row r="1677" spans="1:5" ht="16" thickBot="1"/>
    <row r="1678" spans="1:5" ht="16" thickTop="1">
      <c r="A1678" s="88" t="s">
        <v>2097</v>
      </c>
    </row>
    <row r="1679" spans="1:5">
      <c r="A1679" s="87" t="s">
        <v>2098</v>
      </c>
    </row>
    <row r="1680" spans="1:5">
      <c r="A1680" s="87" t="s">
        <v>2099</v>
      </c>
    </row>
    <row r="1681" spans="1:4">
      <c r="A1681" s="86" t="s">
        <v>2100</v>
      </c>
    </row>
    <row r="1682" spans="1:4">
      <c r="A1682" s="86" t="s">
        <v>2101</v>
      </c>
    </row>
    <row r="1683" spans="1:4">
      <c r="A1683" s="86" t="s">
        <v>2102</v>
      </c>
    </row>
    <row r="1684" spans="1:4">
      <c r="A1684" s="86" t="s">
        <v>2103</v>
      </c>
    </row>
    <row r="1685" spans="1:4">
      <c r="A1685" s="86" t="s">
        <v>2104</v>
      </c>
    </row>
    <row r="1686" spans="1:4">
      <c r="A1686" s="100" t="s">
        <v>2105</v>
      </c>
    </row>
    <row r="1687" spans="1:4">
      <c r="A1687" s="100" t="s">
        <v>2106</v>
      </c>
    </row>
    <row r="1688" spans="1:4" ht="16" thickBot="1">
      <c r="A1688" s="101" t="s">
        <v>2107</v>
      </c>
    </row>
    <row r="1689" spans="1:4" ht="16" thickTop="1"/>
    <row r="1691" spans="1:4" ht="16" thickBot="1"/>
    <row r="1692" spans="1:4" ht="16" thickTop="1">
      <c r="A1692" s="88" t="s">
        <v>208</v>
      </c>
    </row>
    <row r="1693" spans="1:4">
      <c r="A1693" s="87" t="s">
        <v>2110</v>
      </c>
    </row>
    <row r="1694" spans="1:4">
      <c r="A1694" s="87" t="s">
        <v>2111</v>
      </c>
    </row>
    <row r="1695" spans="1:4">
      <c r="A1695" s="87" t="s">
        <v>2978</v>
      </c>
      <c r="C1695" s="1" t="s">
        <v>11</v>
      </c>
      <c r="D1695" s="8" t="s">
        <v>11</v>
      </c>
    </row>
    <row r="1696" spans="1:4">
      <c r="A1696" s="87" t="s">
        <v>2980</v>
      </c>
      <c r="C1696" s="1"/>
      <c r="D1696" s="8"/>
    </row>
    <row r="1697" spans="1:4">
      <c r="A1697" s="87" t="s">
        <v>2988</v>
      </c>
      <c r="C1697" s="1" t="s">
        <v>11</v>
      </c>
      <c r="D1697" s="8"/>
    </row>
    <row r="1698" spans="1:4">
      <c r="A1698" s="87" t="s">
        <v>2987</v>
      </c>
      <c r="C1698" s="1"/>
      <c r="D1698" s="8"/>
    </row>
    <row r="1699" spans="1:4">
      <c r="A1699" s="87" t="s">
        <v>2989</v>
      </c>
      <c r="C1699" s="1" t="s">
        <v>11</v>
      </c>
      <c r="D1699" s="8"/>
    </row>
    <row r="1700" spans="1:4">
      <c r="A1700" s="87" t="s">
        <v>2990</v>
      </c>
      <c r="C1700" s="1" t="s">
        <v>11</v>
      </c>
      <c r="D1700" s="8"/>
    </row>
    <row r="1701" spans="1:4" ht="16" thickBot="1">
      <c r="A1701" s="89" t="s">
        <v>11</v>
      </c>
    </row>
    <row r="1702" spans="1:4" ht="16" thickTop="1">
      <c r="A1702" s="87" t="s">
        <v>11</v>
      </c>
    </row>
    <row r="1705" spans="1:4" ht="16" thickBot="1">
      <c r="A1705" t="s">
        <v>11</v>
      </c>
    </row>
    <row r="1706" spans="1:4" ht="16" thickTop="1">
      <c r="A1706" s="91" t="s">
        <v>2991</v>
      </c>
      <c r="B1706" s="46"/>
      <c r="C1706" s="46"/>
      <c r="D1706" s="47"/>
    </row>
    <row r="1707" spans="1:4">
      <c r="A1707" s="48"/>
      <c r="B1707" s="16"/>
      <c r="C1707" s="16"/>
      <c r="D1707" s="49"/>
    </row>
    <row r="1708" spans="1:4">
      <c r="A1708" s="48" t="s">
        <v>11</v>
      </c>
      <c r="B1708" s="16"/>
      <c r="C1708" s="16"/>
      <c r="D1708" s="49"/>
    </row>
    <row r="1709" spans="1:4">
      <c r="A1709" s="96" t="s">
        <v>1239</v>
      </c>
      <c r="B1709" s="18" t="s">
        <v>11</v>
      </c>
      <c r="C1709" s="16"/>
      <c r="D1709" s="49"/>
    </row>
    <row r="1710" spans="1:4">
      <c r="A1710" s="48" t="s">
        <v>96</v>
      </c>
      <c r="B1710" s="20" t="s">
        <v>1246</v>
      </c>
      <c r="C1710" s="16" t="s">
        <v>2979</v>
      </c>
      <c r="D1710" s="49" t="s">
        <v>2965</v>
      </c>
    </row>
    <row r="1711" spans="1:4">
      <c r="A1711" s="48" t="s">
        <v>89</v>
      </c>
      <c r="B1711" s="20">
        <v>322.89999999999998</v>
      </c>
      <c r="C1711" s="16" t="s">
        <v>2963</v>
      </c>
      <c r="D1711" s="129">
        <f>B1711/(B1724-B1723)</f>
        <v>0.29640168900312086</v>
      </c>
    </row>
    <row r="1712" spans="1:4">
      <c r="A1712" s="48" t="s">
        <v>90</v>
      </c>
      <c r="B1712" s="20">
        <v>231.5</v>
      </c>
      <c r="C1712" s="16" t="s">
        <v>2963</v>
      </c>
      <c r="D1712" s="129">
        <f>B1712/(B1724-B1723)</f>
        <v>0.21250229484119693</v>
      </c>
    </row>
    <row r="1713" spans="1:10">
      <c r="A1713" s="48" t="s">
        <v>97</v>
      </c>
      <c r="B1713" s="20">
        <v>104.8</v>
      </c>
      <c r="C1713" s="92" t="s">
        <v>2952</v>
      </c>
      <c r="D1713" s="49"/>
    </row>
    <row r="1714" spans="1:10">
      <c r="A1714" s="48" t="s">
        <v>1240</v>
      </c>
      <c r="B1714" s="20">
        <v>50</v>
      </c>
      <c r="C1714" s="92" t="s">
        <v>2963</v>
      </c>
      <c r="D1714" s="129">
        <f>B1714/(B1724-B1723)</f>
        <v>4.5896823939783352E-2</v>
      </c>
    </row>
    <row r="1715" spans="1:10">
      <c r="A1715" s="48" t="s">
        <v>128</v>
      </c>
      <c r="B1715" s="20">
        <v>70.7</v>
      </c>
      <c r="C1715" s="92" t="s">
        <v>2964</v>
      </c>
      <c r="D1715" s="129" t="s">
        <v>11</v>
      </c>
    </row>
    <row r="1716" spans="1:10">
      <c r="A1716" s="48" t="s">
        <v>1241</v>
      </c>
      <c r="B1716" s="20">
        <v>40.5</v>
      </c>
      <c r="C1716" s="92" t="s">
        <v>2963</v>
      </c>
      <c r="D1716" s="129">
        <f>B1716/(B1724-B1723)</f>
        <v>3.7176427391224516E-2</v>
      </c>
    </row>
    <row r="1717" spans="1:10">
      <c r="A1717" s="48" t="s">
        <v>1242</v>
      </c>
      <c r="B1717" s="20">
        <v>59.7</v>
      </c>
      <c r="C1717" s="92" t="s">
        <v>2953</v>
      </c>
      <c r="D1717" s="129">
        <f>B1717/(B1724-B1723)</f>
        <v>5.4800807784101326E-2</v>
      </c>
    </row>
    <row r="1718" spans="1:10">
      <c r="A1718" s="48" t="s">
        <v>93</v>
      </c>
      <c r="B1718" s="20">
        <v>56.2</v>
      </c>
      <c r="C1718" s="92" t="s">
        <v>2964</v>
      </c>
      <c r="D1718" s="129" t="s">
        <v>11</v>
      </c>
    </row>
    <row r="1719" spans="1:10">
      <c r="A1719" s="48" t="s">
        <v>109</v>
      </c>
      <c r="B1719" s="20">
        <v>74</v>
      </c>
      <c r="C1719" s="92" t="s">
        <v>2964</v>
      </c>
      <c r="D1719" s="129" t="s">
        <v>11</v>
      </c>
    </row>
    <row r="1720" spans="1:10">
      <c r="A1720" s="48" t="s">
        <v>1243</v>
      </c>
      <c r="B1720" s="20">
        <v>44.5</v>
      </c>
      <c r="C1720" s="92" t="s">
        <v>2953</v>
      </c>
      <c r="D1720" s="129">
        <f>B1720/(B1724-B1723)</f>
        <v>4.0848173306407186E-2</v>
      </c>
    </row>
    <row r="1721" spans="1:10">
      <c r="A1721" s="48" t="s">
        <v>1244</v>
      </c>
      <c r="B1721" s="20">
        <v>20.2</v>
      </c>
      <c r="C1721" s="92" t="s">
        <v>2952</v>
      </c>
      <c r="D1721" s="49"/>
      <c r="J1721" t="s">
        <v>11</v>
      </c>
    </row>
    <row r="1722" spans="1:10">
      <c r="A1722" s="48" t="s">
        <v>125</v>
      </c>
      <c r="B1722" s="20">
        <v>14.4</v>
      </c>
      <c r="C1722" s="92" t="s">
        <v>2952</v>
      </c>
      <c r="D1722" s="49"/>
      <c r="J1722" t="s">
        <v>11</v>
      </c>
    </row>
    <row r="1723" spans="1:10">
      <c r="A1723" s="48" t="s">
        <v>1247</v>
      </c>
      <c r="B1723" s="20">
        <v>340.5</v>
      </c>
      <c r="C1723" s="16"/>
      <c r="D1723" s="49"/>
      <c r="J1723" t="s">
        <v>11</v>
      </c>
    </row>
    <row r="1724" spans="1:10">
      <c r="A1724" s="48" t="s">
        <v>94</v>
      </c>
      <c r="B1724" s="20">
        <f>SUM(B1711:B1723)</f>
        <v>1429.9000000000003</v>
      </c>
      <c r="C1724" s="16"/>
      <c r="D1724" s="129">
        <f>SUM(D1711:D1722)</f>
        <v>0.6876262162658342</v>
      </c>
      <c r="J1724" t="s">
        <v>11</v>
      </c>
    </row>
    <row r="1725" spans="1:10">
      <c r="A1725" s="48" t="s">
        <v>11</v>
      </c>
      <c r="B1725" s="83" t="s">
        <v>11</v>
      </c>
      <c r="C1725" s="16"/>
      <c r="D1725" s="49"/>
    </row>
    <row r="1726" spans="1:10">
      <c r="A1726" s="97"/>
      <c r="B1726" s="22" t="s">
        <v>1248</v>
      </c>
      <c r="C1726" s="16"/>
      <c r="D1726" s="49"/>
    </row>
    <row r="1727" spans="1:10">
      <c r="A1727" s="98" t="s">
        <v>11</v>
      </c>
      <c r="B1727" s="16"/>
      <c r="C1727" s="16"/>
      <c r="D1727" s="49"/>
    </row>
    <row r="1730" spans="1:6">
      <c r="A1730" t="s">
        <v>2981</v>
      </c>
      <c r="B1730" t="s">
        <v>2984</v>
      </c>
      <c r="C1730" t="s">
        <v>2992</v>
      </c>
      <c r="D1730" t="s">
        <v>2993</v>
      </c>
      <c r="E1730" t="s">
        <v>2994</v>
      </c>
      <c r="F1730" t="s">
        <v>2995</v>
      </c>
    </row>
    <row r="1731" spans="1:6">
      <c r="A1731" s="48" t="s">
        <v>1274</v>
      </c>
      <c r="B1731" s="8">
        <f>B1716*1000000</f>
        <v>40500000</v>
      </c>
      <c r="C1731">
        <v>0</v>
      </c>
      <c r="D1731" s="1">
        <f>4900000*0.2</f>
        <v>980000</v>
      </c>
      <c r="E1731" s="1">
        <f>(B1731-5000000)*0.1</f>
        <v>3550000</v>
      </c>
      <c r="F1731" s="1">
        <f>SUM(C1731:E1731)</f>
        <v>4530000</v>
      </c>
    </row>
    <row r="1732" spans="1:6">
      <c r="A1732" s="48" t="s">
        <v>1272</v>
      </c>
      <c r="B1732" s="8">
        <f>B1720*1000000</f>
        <v>44500000</v>
      </c>
      <c r="C1732">
        <v>0</v>
      </c>
      <c r="D1732" s="1">
        <f t="shared" ref="D1732:D1762" si="0">4900000*0.2</f>
        <v>980000</v>
      </c>
      <c r="E1732" s="1">
        <f t="shared" ref="E1732:E1762" si="1">(B1732-5000000)*0.1</f>
        <v>3950000</v>
      </c>
      <c r="F1732" s="1">
        <f t="shared" ref="F1732:F1762" si="2">SUM(C1732:E1732)</f>
        <v>4930000</v>
      </c>
    </row>
    <row r="1733" spans="1:6">
      <c r="A1733" s="48" t="s">
        <v>1267</v>
      </c>
      <c r="B1733" s="8">
        <f>B1714*1000000</f>
        <v>50000000</v>
      </c>
      <c r="C1733">
        <v>0</v>
      </c>
      <c r="D1733" s="1">
        <f t="shared" si="0"/>
        <v>980000</v>
      </c>
      <c r="E1733" s="1">
        <f t="shared" si="1"/>
        <v>4500000</v>
      </c>
      <c r="F1733" s="1">
        <f t="shared" si="2"/>
        <v>5480000</v>
      </c>
    </row>
    <row r="1734" spans="1:6">
      <c r="A1734" s="48" t="s">
        <v>1242</v>
      </c>
      <c r="B1734" s="8">
        <f>B1717*1000000</f>
        <v>59700000</v>
      </c>
      <c r="C1734">
        <v>0</v>
      </c>
      <c r="D1734" s="1">
        <f t="shared" si="0"/>
        <v>980000</v>
      </c>
      <c r="E1734" s="1">
        <f t="shared" si="1"/>
        <v>5470000</v>
      </c>
      <c r="F1734" s="1">
        <f t="shared" si="2"/>
        <v>6450000</v>
      </c>
    </row>
    <row r="1735" spans="1:6">
      <c r="A1735" s="48" t="s">
        <v>90</v>
      </c>
      <c r="B1735" s="8">
        <f>B1712*1000000</f>
        <v>231500000</v>
      </c>
      <c r="C1735">
        <v>0</v>
      </c>
      <c r="D1735" s="1">
        <f t="shared" si="0"/>
        <v>980000</v>
      </c>
      <c r="E1735" s="1">
        <f t="shared" si="1"/>
        <v>22650000</v>
      </c>
      <c r="F1735" s="1">
        <v>6500000</v>
      </c>
    </row>
    <row r="1736" spans="1:6">
      <c r="A1736" s="48" t="s">
        <v>89</v>
      </c>
      <c r="B1736" s="8">
        <f>B1711*1000000</f>
        <v>322900000</v>
      </c>
      <c r="C1736">
        <v>0</v>
      </c>
      <c r="D1736" s="1">
        <f t="shared" si="0"/>
        <v>980000</v>
      </c>
      <c r="E1736" s="1">
        <f t="shared" si="1"/>
        <v>31790000</v>
      </c>
      <c r="F1736" s="1">
        <v>6500000</v>
      </c>
    </row>
    <row r="1737" spans="1:6">
      <c r="A1737" s="48" t="s">
        <v>1383</v>
      </c>
      <c r="B1737" s="8">
        <v>8119619</v>
      </c>
      <c r="C1737">
        <v>0</v>
      </c>
      <c r="D1737" s="1">
        <f t="shared" si="0"/>
        <v>980000</v>
      </c>
      <c r="E1737" s="1">
        <f t="shared" si="1"/>
        <v>311961.90000000002</v>
      </c>
      <c r="F1737" s="1">
        <f t="shared" si="2"/>
        <v>1291961.8999999999</v>
      </c>
    </row>
    <row r="1738" spans="1:6">
      <c r="A1738" s="48" t="s">
        <v>1257</v>
      </c>
      <c r="B1738" s="8">
        <v>8119619</v>
      </c>
      <c r="C1738">
        <v>0</v>
      </c>
      <c r="D1738" s="1">
        <f t="shared" si="0"/>
        <v>980000</v>
      </c>
      <c r="E1738" s="1">
        <f t="shared" si="1"/>
        <v>311961.90000000002</v>
      </c>
      <c r="F1738" s="1">
        <f t="shared" si="2"/>
        <v>1291961.8999999999</v>
      </c>
    </row>
    <row r="1739" spans="1:6">
      <c r="A1739" s="48" t="s">
        <v>1328</v>
      </c>
      <c r="B1739" s="8">
        <v>8119619</v>
      </c>
      <c r="C1739">
        <v>0</v>
      </c>
      <c r="D1739" s="1">
        <f t="shared" si="0"/>
        <v>980000</v>
      </c>
      <c r="E1739" s="1">
        <f t="shared" si="1"/>
        <v>311961.90000000002</v>
      </c>
      <c r="F1739" s="1">
        <f t="shared" si="2"/>
        <v>1291961.8999999999</v>
      </c>
    </row>
    <row r="1740" spans="1:6">
      <c r="A1740" s="48" t="s">
        <v>1401</v>
      </c>
      <c r="B1740" s="8">
        <v>8119619</v>
      </c>
      <c r="C1740">
        <v>0</v>
      </c>
      <c r="D1740" s="1">
        <f t="shared" si="0"/>
        <v>980000</v>
      </c>
      <c r="E1740" s="1">
        <f t="shared" si="1"/>
        <v>311961.90000000002</v>
      </c>
      <c r="F1740" s="1">
        <f t="shared" si="2"/>
        <v>1291961.8999999999</v>
      </c>
    </row>
    <row r="1741" spans="1:6">
      <c r="A1741" s="48" t="s">
        <v>1282</v>
      </c>
      <c r="B1741" s="8">
        <v>8119619</v>
      </c>
      <c r="C1741">
        <v>0</v>
      </c>
      <c r="D1741" s="1">
        <f t="shared" si="0"/>
        <v>980000</v>
      </c>
      <c r="E1741" s="1">
        <f t="shared" si="1"/>
        <v>311961.90000000002</v>
      </c>
      <c r="F1741" s="1">
        <f t="shared" si="2"/>
        <v>1291961.8999999999</v>
      </c>
    </row>
    <row r="1742" spans="1:6">
      <c r="A1742" s="48" t="s">
        <v>1266</v>
      </c>
      <c r="B1742" s="8">
        <v>8119619</v>
      </c>
      <c r="C1742">
        <v>0</v>
      </c>
      <c r="D1742" s="1">
        <f t="shared" si="0"/>
        <v>980000</v>
      </c>
      <c r="E1742" s="1">
        <f t="shared" si="1"/>
        <v>311961.90000000002</v>
      </c>
      <c r="F1742" s="1">
        <f t="shared" si="2"/>
        <v>1291961.8999999999</v>
      </c>
    </row>
    <row r="1743" spans="1:6">
      <c r="A1743" s="48" t="s">
        <v>1251</v>
      </c>
      <c r="B1743" s="8">
        <v>8119619</v>
      </c>
      <c r="C1743">
        <v>0</v>
      </c>
      <c r="D1743" s="1">
        <f t="shared" si="0"/>
        <v>980000</v>
      </c>
      <c r="E1743" s="1">
        <f t="shared" si="1"/>
        <v>311961.90000000002</v>
      </c>
      <c r="F1743" s="1">
        <f t="shared" si="2"/>
        <v>1291961.8999999999</v>
      </c>
    </row>
    <row r="1744" spans="1:6">
      <c r="A1744" s="48" t="s">
        <v>1275</v>
      </c>
      <c r="B1744" s="8">
        <v>8119619</v>
      </c>
      <c r="C1744">
        <v>0</v>
      </c>
      <c r="D1744" s="1">
        <f t="shared" si="0"/>
        <v>980000</v>
      </c>
      <c r="E1744" s="1">
        <f t="shared" si="1"/>
        <v>311961.90000000002</v>
      </c>
      <c r="F1744" s="1">
        <f t="shared" si="2"/>
        <v>1291961.8999999999</v>
      </c>
    </row>
    <row r="1745" spans="1:6">
      <c r="A1745" s="48" t="s">
        <v>1392</v>
      </c>
      <c r="B1745" s="8">
        <v>8119619</v>
      </c>
      <c r="C1745">
        <v>0</v>
      </c>
      <c r="D1745" s="1">
        <f t="shared" si="0"/>
        <v>980000</v>
      </c>
      <c r="E1745" s="1">
        <f t="shared" si="1"/>
        <v>311961.90000000002</v>
      </c>
      <c r="F1745" s="1">
        <f t="shared" si="2"/>
        <v>1291961.8999999999</v>
      </c>
    </row>
    <row r="1746" spans="1:6">
      <c r="A1746" s="48" t="s">
        <v>1252</v>
      </c>
      <c r="B1746" s="8">
        <v>8119619</v>
      </c>
      <c r="C1746">
        <v>0</v>
      </c>
      <c r="D1746" s="1">
        <f t="shared" si="0"/>
        <v>980000</v>
      </c>
      <c r="E1746" s="1">
        <f t="shared" si="1"/>
        <v>311961.90000000002</v>
      </c>
      <c r="F1746" s="1">
        <f t="shared" si="2"/>
        <v>1291961.8999999999</v>
      </c>
    </row>
    <row r="1747" spans="1:6">
      <c r="A1747" s="48" t="s">
        <v>1318</v>
      </c>
      <c r="B1747" s="8">
        <v>8119619</v>
      </c>
      <c r="C1747">
        <v>0</v>
      </c>
      <c r="D1747" s="1">
        <f t="shared" si="0"/>
        <v>980000</v>
      </c>
      <c r="E1747" s="1">
        <f t="shared" si="1"/>
        <v>311961.90000000002</v>
      </c>
      <c r="F1747" s="1">
        <f t="shared" si="2"/>
        <v>1291961.8999999999</v>
      </c>
    </row>
    <row r="1748" spans="1:6">
      <c r="A1748" s="48" t="s">
        <v>1399</v>
      </c>
      <c r="B1748" s="8">
        <v>8119619</v>
      </c>
      <c r="C1748">
        <v>0</v>
      </c>
      <c r="D1748" s="1">
        <f t="shared" si="0"/>
        <v>980000</v>
      </c>
      <c r="E1748" s="1">
        <f t="shared" si="1"/>
        <v>311961.90000000002</v>
      </c>
      <c r="F1748" s="1">
        <f t="shared" si="2"/>
        <v>1291961.8999999999</v>
      </c>
    </row>
    <row r="1749" spans="1:6">
      <c r="A1749" s="48" t="s">
        <v>1400</v>
      </c>
      <c r="B1749" s="8">
        <v>8119619</v>
      </c>
      <c r="C1749">
        <v>0</v>
      </c>
      <c r="D1749" s="1">
        <f t="shared" si="0"/>
        <v>980000</v>
      </c>
      <c r="E1749" s="1">
        <f t="shared" si="1"/>
        <v>311961.90000000002</v>
      </c>
      <c r="F1749" s="1">
        <f t="shared" si="2"/>
        <v>1291961.8999999999</v>
      </c>
    </row>
    <row r="1750" spans="1:6">
      <c r="A1750" s="48" t="s">
        <v>1290</v>
      </c>
      <c r="B1750" s="8">
        <v>8119619</v>
      </c>
      <c r="C1750">
        <v>0</v>
      </c>
      <c r="D1750" s="1">
        <f t="shared" si="0"/>
        <v>980000</v>
      </c>
      <c r="E1750" s="1">
        <f t="shared" si="1"/>
        <v>311961.90000000002</v>
      </c>
      <c r="F1750" s="1">
        <f t="shared" si="2"/>
        <v>1291961.8999999999</v>
      </c>
    </row>
    <row r="1751" spans="1:6">
      <c r="A1751" s="48" t="s">
        <v>116</v>
      </c>
      <c r="B1751" s="8">
        <v>8119619</v>
      </c>
      <c r="C1751">
        <v>0</v>
      </c>
      <c r="D1751" s="1">
        <f t="shared" si="0"/>
        <v>980000</v>
      </c>
      <c r="E1751" s="1">
        <f t="shared" si="1"/>
        <v>311961.90000000002</v>
      </c>
      <c r="F1751" s="1">
        <f t="shared" si="2"/>
        <v>1291961.8999999999</v>
      </c>
    </row>
    <row r="1752" spans="1:6">
      <c r="A1752" s="48" t="s">
        <v>1402</v>
      </c>
      <c r="B1752" s="8">
        <v>8119619</v>
      </c>
      <c r="C1752">
        <v>0</v>
      </c>
      <c r="D1752" s="1">
        <f t="shared" si="0"/>
        <v>980000</v>
      </c>
      <c r="E1752" s="1">
        <f t="shared" si="1"/>
        <v>311961.90000000002</v>
      </c>
      <c r="F1752" s="1">
        <f t="shared" si="2"/>
        <v>1291961.8999999999</v>
      </c>
    </row>
    <row r="1753" spans="1:6">
      <c r="A1753" s="48" t="s">
        <v>1319</v>
      </c>
      <c r="B1753" s="8">
        <v>8119619</v>
      </c>
      <c r="C1753">
        <v>0</v>
      </c>
      <c r="D1753" s="1">
        <f t="shared" si="0"/>
        <v>980000</v>
      </c>
      <c r="E1753" s="1">
        <f t="shared" si="1"/>
        <v>311961.90000000002</v>
      </c>
      <c r="F1753" s="1">
        <f t="shared" si="2"/>
        <v>1291961.8999999999</v>
      </c>
    </row>
    <row r="1754" spans="1:6">
      <c r="A1754" s="48" t="s">
        <v>1404</v>
      </c>
      <c r="B1754" s="8">
        <v>8119619</v>
      </c>
      <c r="C1754">
        <v>0</v>
      </c>
      <c r="D1754" s="1">
        <f t="shared" si="0"/>
        <v>980000</v>
      </c>
      <c r="E1754" s="1">
        <f t="shared" si="1"/>
        <v>311961.90000000002</v>
      </c>
      <c r="F1754" s="1">
        <f t="shared" si="2"/>
        <v>1291961.8999999999</v>
      </c>
    </row>
    <row r="1755" spans="1:6">
      <c r="A1755" s="48" t="s">
        <v>1287</v>
      </c>
      <c r="B1755" s="8">
        <v>8119619</v>
      </c>
      <c r="C1755">
        <v>0</v>
      </c>
      <c r="D1755" s="1">
        <f t="shared" si="0"/>
        <v>980000</v>
      </c>
      <c r="E1755" s="1">
        <f t="shared" si="1"/>
        <v>311961.90000000002</v>
      </c>
      <c r="F1755" s="1">
        <f t="shared" si="2"/>
        <v>1291961.8999999999</v>
      </c>
    </row>
    <row r="1756" spans="1:6">
      <c r="A1756" s="48" t="s">
        <v>1321</v>
      </c>
      <c r="B1756" s="8">
        <v>8119619</v>
      </c>
      <c r="C1756">
        <v>0</v>
      </c>
      <c r="D1756" s="1">
        <f t="shared" si="0"/>
        <v>980000</v>
      </c>
      <c r="E1756" s="1">
        <f t="shared" si="1"/>
        <v>311961.90000000002</v>
      </c>
      <c r="F1756" s="1">
        <f t="shared" si="2"/>
        <v>1291961.8999999999</v>
      </c>
    </row>
    <row r="1757" spans="1:6">
      <c r="A1757" s="48" t="s">
        <v>1322</v>
      </c>
      <c r="B1757" s="8">
        <v>8119619</v>
      </c>
      <c r="C1757">
        <v>0</v>
      </c>
      <c r="D1757" s="1">
        <f t="shared" si="0"/>
        <v>980000</v>
      </c>
      <c r="E1757" s="1">
        <f t="shared" si="1"/>
        <v>311961.90000000002</v>
      </c>
      <c r="F1757" s="1">
        <f t="shared" si="2"/>
        <v>1291961.8999999999</v>
      </c>
    </row>
    <row r="1758" spans="1:6">
      <c r="A1758" s="48" t="s">
        <v>1323</v>
      </c>
      <c r="B1758" s="8">
        <v>8119619</v>
      </c>
      <c r="C1758">
        <v>0</v>
      </c>
      <c r="D1758" s="1">
        <f t="shared" si="0"/>
        <v>980000</v>
      </c>
      <c r="E1758" s="1">
        <f t="shared" si="1"/>
        <v>311961.90000000002</v>
      </c>
      <c r="F1758" s="1">
        <f t="shared" si="2"/>
        <v>1291961.8999999999</v>
      </c>
    </row>
    <row r="1759" spans="1:6">
      <c r="A1759" s="48" t="s">
        <v>1360</v>
      </c>
      <c r="B1759" s="8">
        <v>8119619</v>
      </c>
      <c r="C1759">
        <v>0</v>
      </c>
      <c r="D1759" s="1">
        <f t="shared" si="0"/>
        <v>980000</v>
      </c>
      <c r="E1759" s="1">
        <f t="shared" si="1"/>
        <v>311961.90000000002</v>
      </c>
      <c r="F1759" s="1">
        <f t="shared" si="2"/>
        <v>1291961.8999999999</v>
      </c>
    </row>
    <row r="1760" spans="1:6">
      <c r="A1760" s="48" t="s">
        <v>1336</v>
      </c>
      <c r="B1760" s="8">
        <v>8119619</v>
      </c>
      <c r="C1760">
        <v>0</v>
      </c>
      <c r="D1760" s="1">
        <f t="shared" si="0"/>
        <v>980000</v>
      </c>
      <c r="E1760" s="1">
        <f t="shared" si="1"/>
        <v>311961.90000000002</v>
      </c>
      <c r="F1760" s="1">
        <f t="shared" si="2"/>
        <v>1291961.8999999999</v>
      </c>
    </row>
    <row r="1761" spans="1:6">
      <c r="A1761" s="48" t="s">
        <v>694</v>
      </c>
      <c r="B1761" s="8">
        <v>8119619</v>
      </c>
      <c r="C1761">
        <v>0</v>
      </c>
      <c r="D1761" s="1">
        <f t="shared" si="0"/>
        <v>980000</v>
      </c>
      <c r="E1761" s="1">
        <f t="shared" si="1"/>
        <v>311961.90000000002</v>
      </c>
      <c r="F1761" s="1">
        <f t="shared" si="2"/>
        <v>1291961.8999999999</v>
      </c>
    </row>
    <row r="1762" spans="1:6">
      <c r="A1762" s="48" t="s">
        <v>1326</v>
      </c>
      <c r="B1762" s="8">
        <v>8119619</v>
      </c>
      <c r="C1762">
        <v>0</v>
      </c>
      <c r="D1762" s="1">
        <f t="shared" si="0"/>
        <v>980000</v>
      </c>
      <c r="E1762" s="1">
        <f t="shared" si="1"/>
        <v>311961.90000000002</v>
      </c>
      <c r="F1762" s="1">
        <f t="shared" si="2"/>
        <v>1291961.8999999999</v>
      </c>
    </row>
    <row r="1763" spans="1:6">
      <c r="A1763" t="s">
        <v>11</v>
      </c>
    </row>
    <row r="1764" spans="1:6">
      <c r="A1764" t="s">
        <v>2996</v>
      </c>
      <c r="F1764" s="1">
        <f>SUM(F1731:F1762)</f>
        <v>67981009.399999961</v>
      </c>
    </row>
  </sheetData>
  <sortState ref="A1725:B1756">
    <sortCondition ref="B1725:B1756"/>
  </sortState>
  <mergeCells count="1">
    <mergeCell ref="A10:A20"/>
  </mergeCells>
  <phoneticPr fontId="15" type="noConversion"/>
  <pageMargins left="0.7" right="0.7" top="0.75" bottom="0.75" header="0.3" footer="0.3"/>
  <pageSetup orientation="portrait"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1"/>
  <sheetViews>
    <sheetView showGridLines="0" view="pageLayout" workbookViewId="0">
      <selection activeCell="A2" sqref="A2"/>
    </sheetView>
  </sheetViews>
  <sheetFormatPr baseColWidth="10" defaultRowHeight="15" x14ac:dyDescent="0"/>
  <cols>
    <col min="1" max="1" width="80.33203125" customWidth="1"/>
  </cols>
  <sheetData>
    <row r="2" spans="1:1">
      <c r="A2" s="246" t="s">
        <v>3036</v>
      </c>
    </row>
    <row r="3" spans="1:1" ht="18">
      <c r="A3" s="147" t="str">
        <f>CONCATENATE(VLOOKUP($A$2,'Table of Contents'!$B:$E,4,FALSE)," ",$A$2)</f>
        <v>4.5 SISVEL LTE</v>
      </c>
    </row>
    <row r="4" spans="1:1">
      <c r="A4" t="str">
        <f>VLOOKUP($A$2,'Table of Contents'!$B:$E,3,FALSE)</f>
        <v>Pool</v>
      </c>
    </row>
    <row r="5" spans="1:1">
      <c r="A5" s="148" t="str">
        <f>VLOOKUP($A$2,'Table of Contents'!$B:$E,2,FALSE)</f>
        <v>Researched</v>
      </c>
    </row>
    <row r="7" spans="1:1">
      <c r="A7" s="44" t="s">
        <v>3031</v>
      </c>
    </row>
    <row r="8" spans="1:1" ht="60">
      <c r="A8" s="130" t="s">
        <v>3125</v>
      </c>
    </row>
    <row r="9" spans="1:1">
      <c r="A9" s="130" t="s">
        <v>3124</v>
      </c>
    </row>
    <row r="10" spans="1:1">
      <c r="A10" s="130"/>
    </row>
    <row r="11" spans="1:1">
      <c r="A11" s="82" t="s">
        <v>3068</v>
      </c>
    </row>
    <row r="12" spans="1:1" ht="30">
      <c r="A12" s="130" t="s">
        <v>3126</v>
      </c>
    </row>
    <row r="13" spans="1:1" ht="45">
      <c r="A13" s="130" t="s">
        <v>3127</v>
      </c>
    </row>
    <row r="14" spans="1:1">
      <c r="A14" s="130"/>
    </row>
    <row r="15" spans="1:1">
      <c r="A15" s="44" t="s">
        <v>2092</v>
      </c>
    </row>
    <row r="16" spans="1:1" ht="30">
      <c r="A16" s="136" t="s">
        <v>3130</v>
      </c>
    </row>
    <row r="17" spans="1:1">
      <c r="A17" s="130"/>
    </row>
    <row r="18" spans="1:1" ht="30">
      <c r="A18" s="130" t="s">
        <v>3119</v>
      </c>
    </row>
    <row r="19" spans="1:1">
      <c r="A19" s="130"/>
    </row>
    <row r="20" spans="1:1">
      <c r="A20" s="44" t="s">
        <v>3067</v>
      </c>
    </row>
    <row r="21" spans="1:1" ht="45">
      <c r="A21" s="130" t="s">
        <v>3128</v>
      </c>
    </row>
  </sheetData>
  <phoneticPr fontId="15" type="noConversion"/>
  <hyperlinks>
    <hyperlink ref="A16" r:id="rId1" display="Via details their royalty rates, which decline to $2.10/ unit at the highest tier.  This is a significant price/ unit for a pool lacking the scale of the leading portfolios, which likely disincents many licensees from enrolling.  This might change in the "/>
  </hyperlinks>
  <pageMargins left="0.7" right="0.7" top="0.75" bottom="0.75" header="0.3" footer="0.3"/>
  <pageSetup orientation="portrait" horizontalDpi="4294967292" verticalDpi="4294967292"/>
  <headerFooter>
    <oddHeader>&amp;LA New Dataset on Mobile Phone _x000D_Patent License Royalties&amp;C&amp;"-,Bold"&amp;A&amp;RSeptember 2016 Update</oddHeader>
    <oddFooter>&amp;LAlexander Galetovic, Stephen Haber, _x000D_and Lew Zaretzki&amp;C&amp;P of &amp;N&amp;R&amp;D</oddFooter>
  </headerFooter>
  <extLst>
    <ext xmlns:mx="http://schemas.microsoft.com/office/mac/excel/2008/main" uri="{64002731-A6B0-56B0-2670-7721B7C09600}">
      <mx:PLV Mode="1"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432FF"/>
  </sheetPr>
  <dimension ref="A12:D16"/>
  <sheetViews>
    <sheetView showGridLines="0" view="pageLayout" workbookViewId="0">
      <selection activeCell="A19" sqref="A19"/>
    </sheetView>
  </sheetViews>
  <sheetFormatPr baseColWidth="10" defaultRowHeight="15" x14ac:dyDescent="0"/>
  <cols>
    <col min="1" max="1" width="80" customWidth="1"/>
  </cols>
  <sheetData>
    <row r="12" spans="1:4" ht="25">
      <c r="A12" s="152" t="s">
        <v>3041</v>
      </c>
    </row>
    <row r="13" spans="1:4" ht="25">
      <c r="A13" s="152" t="s">
        <v>3000</v>
      </c>
    </row>
    <row r="16" spans="1:4">
      <c r="D16" s="151"/>
    </row>
  </sheetData>
  <phoneticPr fontId="15" type="noConversion"/>
  <pageMargins left="0.7" right="0.7" top="0.75" bottom="0.75" header="0.3" footer="0.3"/>
  <pageSetup orientation="portrait" horizontalDpi="4294967292" verticalDpi="4294967292"/>
  <headerFooter>
    <oddHeader>&amp;LA New Dataset on Mobile Phone _x000D_Patent License Royalties&amp;RSeptember 2016 Update</oddHeader>
    <oddFooter>&amp;LAlexander Galetovic, Stephen Haber, _x000D_and Lew Zaretzki</oddFooter>
  </headerFooter>
  <extLst>
    <ext xmlns:mx="http://schemas.microsoft.com/office/mac/excel/2008/main" uri="{64002731-A6B0-56B0-2670-7721B7C09600}">
      <mx:PLV Mode="1" OnePage="0" WScale="100"/>
    </ext>
  </extLst>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6"/>
  <sheetViews>
    <sheetView showGridLines="0" view="pageLayout" workbookViewId="0">
      <selection activeCell="A4" sqref="A4"/>
    </sheetView>
  </sheetViews>
  <sheetFormatPr baseColWidth="10" defaultRowHeight="15" x14ac:dyDescent="0"/>
  <cols>
    <col min="1" max="1" width="77.33203125" style="130" customWidth="1"/>
  </cols>
  <sheetData>
    <row r="2" spans="1:1">
      <c r="A2" s="300" t="s">
        <v>3037</v>
      </c>
    </row>
    <row r="3" spans="1:1" ht="18">
      <c r="A3" s="149" t="str">
        <f>CONCATENATE(VLOOKUP($A$2,'Table of Contents'!$B:$E,4,FALSE)," ",$A$2)</f>
        <v>4.6 SISVEL WiFi</v>
      </c>
    </row>
    <row r="4" spans="1:1">
      <c r="A4" t="str">
        <f>VLOOKUP($A$2,'Table of Contents'!$B:$E,3,FALSE)</f>
        <v>Pool</v>
      </c>
    </row>
    <row r="5" spans="1:1">
      <c r="A5" s="148" t="str">
        <f>VLOOKUP($A$2,'Table of Contents'!$B:$E,2,FALSE)</f>
        <v>Researched</v>
      </c>
    </row>
    <row r="7" spans="1:1">
      <c r="A7" s="82" t="s">
        <v>3031</v>
      </c>
    </row>
    <row r="8" spans="1:1" ht="45">
      <c r="A8" s="130" t="s">
        <v>3133</v>
      </c>
    </row>
    <row r="9" spans="1:1">
      <c r="A9" s="130" t="s">
        <v>3124</v>
      </c>
    </row>
    <row r="11" spans="1:1">
      <c r="A11" s="82" t="s">
        <v>3068</v>
      </c>
    </row>
    <row r="12" spans="1:1" ht="30">
      <c r="A12" s="130" t="s">
        <v>3126</v>
      </c>
    </row>
    <row r="13" spans="1:1" ht="45">
      <c r="A13" s="130" t="s">
        <v>3127</v>
      </c>
    </row>
    <row r="14" spans="1:1" ht="60">
      <c r="A14" s="130" t="s">
        <v>3132</v>
      </c>
    </row>
    <row r="16" spans="1:1">
      <c r="A16" s="44" t="s">
        <v>2092</v>
      </c>
    </row>
    <row r="17" spans="1:1" ht="30">
      <c r="A17" s="136" t="s">
        <v>3129</v>
      </c>
    </row>
    <row r="19" spans="1:1" ht="30">
      <c r="A19" s="130" t="s">
        <v>3131</v>
      </c>
    </row>
    <row r="21" spans="1:1">
      <c r="A21" s="130" t="s">
        <v>2874</v>
      </c>
    </row>
    <row r="23" spans="1:1">
      <c r="A23" s="82" t="s">
        <v>3067</v>
      </c>
    </row>
    <row r="24" spans="1:1" ht="45">
      <c r="A24" s="130" t="s">
        <v>3128</v>
      </c>
    </row>
    <row r="26" spans="1:1" ht="30">
      <c r="A26" s="130" t="s">
        <v>3134</v>
      </c>
    </row>
  </sheetData>
  <phoneticPr fontId="15" type="noConversion"/>
  <hyperlinks>
    <hyperlink ref="A17" r:id="rId1" display="SISVEL details their royalty rates, which decline to as little as €0.24/ unit at the highest scale tier."/>
  </hyperlinks>
  <pageMargins left="0.7" right="0.7" top="0.75" bottom="0.75" header="0.3" footer="0.3"/>
  <pageSetup orientation="portrait"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24"/>
  <sheetViews>
    <sheetView view="pageLayout" workbookViewId="0">
      <selection activeCell="A4" sqref="A4"/>
    </sheetView>
  </sheetViews>
  <sheetFormatPr baseColWidth="10" defaultRowHeight="15" x14ac:dyDescent="0"/>
  <cols>
    <col min="1" max="1" width="46.83203125" customWidth="1"/>
    <col min="2" max="11" width="12.33203125" customWidth="1"/>
    <col min="12" max="16" width="14.1640625" customWidth="1"/>
    <col min="17" max="17" width="11.33203125" bestFit="1" customWidth="1"/>
  </cols>
  <sheetData>
    <row r="2" spans="1:8">
      <c r="A2" s="246" t="s">
        <v>3054</v>
      </c>
    </row>
    <row r="3" spans="1:8" ht="18">
      <c r="A3" s="147" t="str">
        <f>CONCATENATE(VLOOKUP($A$2,'Table of Contents'!$B:$E,4,FALSE)," ",$A$2)</f>
        <v>4.7 SIPROLAB WCDMA</v>
      </c>
    </row>
    <row r="4" spans="1:8">
      <c r="A4" t="str">
        <f>VLOOKUP($A$2,'Table of Contents'!$B:$E,3,FALSE)</f>
        <v>Pool</v>
      </c>
    </row>
    <row r="5" spans="1:8">
      <c r="A5" s="148" t="str">
        <f>VLOOKUP($A$2,'Table of Contents'!$B:$E,2,FALSE)</f>
        <v>Researched</v>
      </c>
    </row>
    <row r="6" spans="1:8">
      <c r="A6" s="44"/>
    </row>
    <row r="7" spans="1:8">
      <c r="A7" s="44" t="s">
        <v>3031</v>
      </c>
    </row>
    <row r="8" spans="1:8" ht="32" customHeight="1">
      <c r="A8" s="392" t="s">
        <v>3312</v>
      </c>
      <c r="B8" s="392"/>
      <c r="C8" s="392"/>
      <c r="D8" s="392"/>
      <c r="E8" s="392"/>
      <c r="F8" s="392"/>
      <c r="G8" s="392"/>
      <c r="H8" s="392"/>
    </row>
    <row r="10" spans="1:8">
      <c r="A10" s="44" t="s">
        <v>3068</v>
      </c>
    </row>
    <row r="11" spans="1:8">
      <c r="A11" s="44"/>
    </row>
    <row r="12" spans="1:8">
      <c r="A12" s="269" t="s">
        <v>2727</v>
      </c>
      <c r="B12" s="16"/>
      <c r="C12" s="16"/>
    </row>
    <row r="13" spans="1:8">
      <c r="A13" s="16" t="s">
        <v>2728</v>
      </c>
      <c r="B13" s="16"/>
      <c r="C13" s="16"/>
    </row>
    <row r="14" spans="1:8">
      <c r="A14" s="16" t="s">
        <v>422</v>
      </c>
      <c r="B14" s="16"/>
      <c r="C14" s="16"/>
    </row>
    <row r="15" spans="1:8">
      <c r="A15" s="16" t="s">
        <v>2729</v>
      </c>
      <c r="B15" s="16"/>
      <c r="C15" s="16"/>
    </row>
    <row r="16" spans="1:8">
      <c r="A16" s="16" t="s">
        <v>2730</v>
      </c>
      <c r="B16" s="16"/>
      <c r="C16" s="16"/>
    </row>
    <row r="17" spans="1:8">
      <c r="A17" s="16" t="s">
        <v>575</v>
      </c>
      <c r="B17" s="16"/>
      <c r="C17" s="16"/>
    </row>
    <row r="18" spans="1:8">
      <c r="A18" s="16" t="s">
        <v>595</v>
      </c>
      <c r="B18" s="16"/>
      <c r="C18" s="16"/>
    </row>
    <row r="19" spans="1:8">
      <c r="A19" s="16" t="s">
        <v>2731</v>
      </c>
      <c r="B19" s="16"/>
      <c r="C19" s="16"/>
    </row>
    <row r="20" spans="1:8">
      <c r="A20" s="16" t="s">
        <v>847</v>
      </c>
      <c r="B20" s="16"/>
      <c r="C20" s="16"/>
    </row>
    <row r="21" spans="1:8">
      <c r="A21" s="16" t="s">
        <v>2732</v>
      </c>
      <c r="B21" s="16"/>
      <c r="C21" s="16"/>
    </row>
    <row r="22" spans="1:8">
      <c r="A22" s="16" t="s">
        <v>849</v>
      </c>
      <c r="B22" s="16"/>
      <c r="C22" s="16"/>
    </row>
    <row r="23" spans="1:8">
      <c r="A23" s="16" t="s">
        <v>694</v>
      </c>
      <c r="B23" s="16"/>
      <c r="C23" s="16"/>
    </row>
    <row r="24" spans="1:8">
      <c r="A24" s="16" t="s">
        <v>705</v>
      </c>
      <c r="B24" s="16"/>
      <c r="C24" s="16"/>
    </row>
    <row r="25" spans="1:8">
      <c r="A25" s="16" t="s">
        <v>2733</v>
      </c>
      <c r="B25" s="16"/>
      <c r="C25" s="16"/>
    </row>
    <row r="26" spans="1:8">
      <c r="A26" s="16" t="s">
        <v>776</v>
      </c>
      <c r="B26" s="16"/>
      <c r="C26" s="16"/>
    </row>
    <row r="27" spans="1:8">
      <c r="A27" s="16"/>
      <c r="B27" s="16"/>
      <c r="C27" s="16"/>
    </row>
    <row r="28" spans="1:8" ht="46" customHeight="1">
      <c r="A28" s="414" t="s">
        <v>3313</v>
      </c>
      <c r="B28" s="414"/>
      <c r="C28" s="414"/>
      <c r="D28" s="414"/>
      <c r="E28" s="414"/>
      <c r="F28" s="414"/>
      <c r="G28" s="414"/>
      <c r="H28" s="414"/>
    </row>
    <row r="29" spans="1:8" ht="44" customHeight="1">
      <c r="A29" s="414" t="s">
        <v>3342</v>
      </c>
      <c r="B29" s="414"/>
      <c r="C29" s="414"/>
      <c r="D29" s="414"/>
      <c r="E29" s="414"/>
      <c r="F29" s="414"/>
      <c r="G29" s="414"/>
      <c r="H29" s="414"/>
    </row>
    <row r="30" spans="1:8" ht="17" customHeight="1">
      <c r="A30" s="273"/>
      <c r="B30" s="273"/>
      <c r="C30" s="273"/>
      <c r="D30" s="273"/>
      <c r="E30" s="273"/>
      <c r="F30" s="273"/>
      <c r="G30" s="273"/>
      <c r="H30" s="273"/>
    </row>
    <row r="31" spans="1:8" ht="17" customHeight="1">
      <c r="A31" s="414" t="s">
        <v>3343</v>
      </c>
      <c r="B31" s="392"/>
      <c r="C31" s="392"/>
      <c r="D31" s="392"/>
      <c r="E31" s="392"/>
      <c r="F31" s="392"/>
      <c r="G31" s="392"/>
      <c r="H31" s="392"/>
    </row>
    <row r="32" spans="1:8" ht="17" customHeight="1">
      <c r="A32" s="392"/>
      <c r="B32" s="392"/>
      <c r="C32" s="392"/>
      <c r="D32" s="392"/>
      <c r="E32" s="392"/>
      <c r="F32" s="392"/>
      <c r="G32" s="392"/>
      <c r="H32" s="392"/>
    </row>
    <row r="33" spans="1:8" ht="17" customHeight="1">
      <c r="A33" s="392"/>
      <c r="B33" s="392"/>
      <c r="C33" s="392"/>
      <c r="D33" s="392"/>
      <c r="E33" s="392"/>
      <c r="F33" s="392"/>
      <c r="G33" s="392"/>
      <c r="H33" s="392"/>
    </row>
    <row r="34" spans="1:8" ht="17" customHeight="1">
      <c r="A34" s="273"/>
      <c r="B34" s="273"/>
      <c r="C34" s="273"/>
      <c r="D34" s="273"/>
      <c r="E34" s="273"/>
      <c r="F34" s="273"/>
      <c r="G34" s="273"/>
      <c r="H34" s="273"/>
    </row>
    <row r="35" spans="1:8">
      <c r="A35" s="92"/>
      <c r="B35" s="16"/>
      <c r="C35" s="16"/>
    </row>
    <row r="36" spans="1:8">
      <c r="A36" s="145" t="s">
        <v>2781</v>
      </c>
    </row>
    <row r="37" spans="1:8">
      <c r="A37" t="s">
        <v>2740</v>
      </c>
    </row>
    <row r="38" spans="1:8">
      <c r="A38" t="s">
        <v>2741</v>
      </c>
    </row>
    <row r="39" spans="1:8">
      <c r="A39" t="s">
        <v>3308</v>
      </c>
    </row>
    <row r="40" spans="1:8">
      <c r="A40" t="s">
        <v>2743</v>
      </c>
    </row>
    <row r="41" spans="1:8">
      <c r="A41" t="s">
        <v>2782</v>
      </c>
    </row>
    <row r="42" spans="1:8">
      <c r="A42" t="s">
        <v>2783</v>
      </c>
    </row>
    <row r="43" spans="1:8">
      <c r="A43" s="139" t="s">
        <v>2784</v>
      </c>
    </row>
    <row r="44" spans="1:8">
      <c r="A44" s="139" t="s">
        <v>2785</v>
      </c>
    </row>
    <row r="45" spans="1:8">
      <c r="A45" t="s">
        <v>3304</v>
      </c>
    </row>
    <row r="46" spans="1:8">
      <c r="A46" s="139" t="s">
        <v>2786</v>
      </c>
    </row>
    <row r="47" spans="1:8">
      <c r="A47" s="139" t="s">
        <v>3305</v>
      </c>
    </row>
    <row r="48" spans="1:8">
      <c r="A48" s="139" t="s">
        <v>2787</v>
      </c>
    </row>
    <row r="50" spans="1:3">
      <c r="A50" t="s">
        <v>2742</v>
      </c>
    </row>
    <row r="51" spans="1:3">
      <c r="A51" s="145" t="s">
        <v>1245</v>
      </c>
      <c r="B51" s="145" t="s">
        <v>3303</v>
      </c>
    </row>
    <row r="52" spans="1:3">
      <c r="A52" t="s">
        <v>2734</v>
      </c>
      <c r="B52" s="189">
        <v>1</v>
      </c>
    </row>
    <row r="53" spans="1:3">
      <c r="A53" t="s">
        <v>2735</v>
      </c>
      <c r="B53" s="189">
        <v>0.75</v>
      </c>
    </row>
    <row r="54" spans="1:3">
      <c r="A54" t="s">
        <v>2736</v>
      </c>
      <c r="B54" s="189">
        <v>0.55000000000000004</v>
      </c>
    </row>
    <row r="55" spans="1:3">
      <c r="A55" t="s">
        <v>2737</v>
      </c>
      <c r="B55" s="189">
        <v>0.41</v>
      </c>
    </row>
    <row r="56" spans="1:3">
      <c r="A56" t="s">
        <v>2738</v>
      </c>
      <c r="B56" s="189">
        <v>0.3</v>
      </c>
    </row>
    <row r="57" spans="1:3">
      <c r="A57" t="s">
        <v>2739</v>
      </c>
      <c r="B57" s="189">
        <v>0.22</v>
      </c>
    </row>
    <row r="59" spans="1:3">
      <c r="A59" t="s">
        <v>3309</v>
      </c>
    </row>
    <row r="60" spans="1:3">
      <c r="A60" s="16" t="s">
        <v>1248</v>
      </c>
    </row>
    <row r="61" spans="1:3">
      <c r="A61" s="16"/>
    </row>
    <row r="62" spans="1:3">
      <c r="A62" s="102" t="s">
        <v>2791</v>
      </c>
      <c r="B62" s="16"/>
      <c r="C62" s="16"/>
    </row>
    <row r="63" spans="1:3">
      <c r="A63" s="267" t="s">
        <v>96</v>
      </c>
      <c r="B63" s="267" t="s">
        <v>1246</v>
      </c>
      <c r="C63" s="16"/>
    </row>
    <row r="64" spans="1:3">
      <c r="A64" s="102" t="s">
        <v>89</v>
      </c>
      <c r="B64" s="270">
        <v>322.89999999999998</v>
      </c>
      <c r="C64" s="16"/>
    </row>
    <row r="65" spans="1:3">
      <c r="A65" s="102" t="s">
        <v>90</v>
      </c>
      <c r="B65" s="270">
        <v>231.5</v>
      </c>
      <c r="C65" s="16"/>
    </row>
    <row r="66" spans="1:3">
      <c r="A66" s="102" t="s">
        <v>97</v>
      </c>
      <c r="B66" s="270">
        <v>104.8</v>
      </c>
      <c r="C66" s="16"/>
    </row>
    <row r="67" spans="1:3">
      <c r="A67" s="102" t="s">
        <v>1240</v>
      </c>
      <c r="B67" s="270">
        <v>50</v>
      </c>
      <c r="C67" s="16"/>
    </row>
    <row r="68" spans="1:3">
      <c r="A68" s="102" t="s">
        <v>128</v>
      </c>
      <c r="B68" s="270">
        <v>70.7</v>
      </c>
      <c r="C68" s="16"/>
    </row>
    <row r="69" spans="1:3">
      <c r="A69" s="102" t="s">
        <v>1241</v>
      </c>
      <c r="B69" s="270">
        <v>40.5</v>
      </c>
      <c r="C69" s="16"/>
    </row>
    <row r="70" spans="1:3">
      <c r="A70" s="102" t="s">
        <v>1242</v>
      </c>
      <c r="B70" s="270">
        <v>59.7</v>
      </c>
      <c r="C70" s="16"/>
    </row>
    <row r="71" spans="1:3">
      <c r="A71" s="102" t="s">
        <v>93</v>
      </c>
      <c r="B71" s="270">
        <v>56.2</v>
      </c>
      <c r="C71" s="16"/>
    </row>
    <row r="72" spans="1:3">
      <c r="A72" s="102" t="s">
        <v>109</v>
      </c>
      <c r="B72" s="270">
        <v>74</v>
      </c>
      <c r="C72" s="16"/>
    </row>
    <row r="73" spans="1:3">
      <c r="A73" s="102" t="s">
        <v>1243</v>
      </c>
      <c r="B73" s="270">
        <v>44.5</v>
      </c>
      <c r="C73" s="16"/>
    </row>
    <row r="74" spans="1:3">
      <c r="A74" s="102" t="s">
        <v>1244</v>
      </c>
      <c r="B74" s="270">
        <v>20.2</v>
      </c>
      <c r="C74" s="16"/>
    </row>
    <row r="75" spans="1:3">
      <c r="A75" s="102" t="s">
        <v>125</v>
      </c>
      <c r="B75" s="270">
        <v>14.4</v>
      </c>
      <c r="C75" s="16"/>
    </row>
    <row r="76" spans="1:3">
      <c r="A76" s="102" t="s">
        <v>1247</v>
      </c>
      <c r="B76" s="270">
        <v>340.5</v>
      </c>
      <c r="C76" s="16"/>
    </row>
    <row r="77" spans="1:3">
      <c r="A77" s="268" t="s">
        <v>94</v>
      </c>
      <c r="B77" s="271">
        <v>1429.9</v>
      </c>
      <c r="C77" s="16"/>
    </row>
    <row r="78" spans="1:3">
      <c r="A78" s="102" t="s">
        <v>11</v>
      </c>
      <c r="B78" s="266" t="s">
        <v>11</v>
      </c>
      <c r="C78" s="16"/>
    </row>
    <row r="79" spans="1:3">
      <c r="A79" s="105" t="s">
        <v>3302</v>
      </c>
      <c r="B79" s="102"/>
      <c r="C79" s="16"/>
    </row>
    <row r="80" spans="1:3">
      <c r="A80" s="105" t="s">
        <v>2744</v>
      </c>
    </row>
    <row r="82" spans="1:17">
      <c r="B82" s="412" t="s">
        <v>3295</v>
      </c>
      <c r="C82" s="412"/>
      <c r="D82" s="412"/>
      <c r="E82" s="412"/>
      <c r="F82" s="412" t="s">
        <v>3311</v>
      </c>
      <c r="G82" s="412"/>
      <c r="H82" s="412"/>
      <c r="I82" s="412"/>
      <c r="J82" s="412"/>
      <c r="K82" s="412"/>
      <c r="L82" s="412" t="s">
        <v>3307</v>
      </c>
      <c r="M82" s="412"/>
      <c r="N82" s="412"/>
      <c r="O82" s="412"/>
    </row>
    <row r="83" spans="1:17">
      <c r="B83" s="169" t="s">
        <v>3268</v>
      </c>
      <c r="C83" s="169" t="s">
        <v>3267</v>
      </c>
      <c r="D83" s="169" t="s">
        <v>3266</v>
      </c>
      <c r="E83" s="169" t="s">
        <v>3265</v>
      </c>
      <c r="F83" s="176" t="s">
        <v>3296</v>
      </c>
      <c r="G83" s="169" t="s">
        <v>3297</v>
      </c>
      <c r="H83" s="169" t="s">
        <v>3298</v>
      </c>
      <c r="I83" s="169" t="s">
        <v>3299</v>
      </c>
      <c r="J83" s="169" t="s">
        <v>3300</v>
      </c>
      <c r="K83" s="169" t="s">
        <v>3301</v>
      </c>
      <c r="L83" s="176" t="s">
        <v>3268</v>
      </c>
      <c r="M83" s="169" t="s">
        <v>3267</v>
      </c>
      <c r="N83" s="169" t="s">
        <v>3266</v>
      </c>
      <c r="O83" s="169" t="s">
        <v>3265</v>
      </c>
      <c r="P83" s="169" t="s">
        <v>3306</v>
      </c>
    </row>
    <row r="84" spans="1:17">
      <c r="A84" s="84" t="s">
        <v>89</v>
      </c>
      <c r="B84" s="8">
        <f t="shared" ref="B84:B95" si="0">B64*1000000/4</f>
        <v>80725000</v>
      </c>
      <c r="C84" s="8">
        <f t="shared" ref="C84:C95" si="1">B64*1000000/4</f>
        <v>80725000</v>
      </c>
      <c r="D84" s="8">
        <f t="shared" ref="D84:D95" si="2">B64*1000000/4</f>
        <v>80725000</v>
      </c>
      <c r="E84" s="8">
        <f t="shared" ref="E84:E95" si="3">B64*1000000/4</f>
        <v>80725000</v>
      </c>
      <c r="F84" s="191">
        <f>$B$52*2500000</f>
        <v>2500000</v>
      </c>
      <c r="G84" s="190">
        <f>$B$53*3750000</f>
        <v>2812500</v>
      </c>
      <c r="H84" s="190">
        <f>$B$54*6250000</f>
        <v>3437500.0000000005</v>
      </c>
      <c r="I84" s="190">
        <f>$B$55*12500000</f>
        <v>5125000</v>
      </c>
      <c r="J84" s="190">
        <f>$B$56*25000000</f>
        <v>7500000</v>
      </c>
      <c r="K84" s="190">
        <f>$B$57*(B84-50000000)</f>
        <v>6759500</v>
      </c>
      <c r="L84" s="191">
        <f>SUM(F84:K84)</f>
        <v>28134500</v>
      </c>
      <c r="M84" s="190">
        <f>L84</f>
        <v>28134500</v>
      </c>
      <c r="N84" s="190">
        <f>L84</f>
        <v>28134500</v>
      </c>
      <c r="O84" s="190">
        <f>L84</f>
        <v>28134500</v>
      </c>
      <c r="P84" s="190">
        <f>SUM(L84:O84)</f>
        <v>112538000</v>
      </c>
      <c r="Q84" s="8" t="s">
        <v>11</v>
      </c>
    </row>
    <row r="85" spans="1:17">
      <c r="A85" s="84" t="s">
        <v>90</v>
      </c>
      <c r="B85" s="8">
        <f t="shared" si="0"/>
        <v>57875000</v>
      </c>
      <c r="C85" s="8">
        <f t="shared" si="1"/>
        <v>57875000</v>
      </c>
      <c r="D85" s="8">
        <f t="shared" si="2"/>
        <v>57875000</v>
      </c>
      <c r="E85" s="8">
        <f t="shared" si="3"/>
        <v>57875000</v>
      </c>
      <c r="F85" s="191">
        <f t="shared" ref="F85:F90" si="4">1*2500000</f>
        <v>2500000</v>
      </c>
      <c r="G85" s="190">
        <f t="shared" ref="G85:G90" si="5">0.75*3750000</f>
        <v>2812500</v>
      </c>
      <c r="H85" s="190">
        <f>0.55*6250000</f>
        <v>3437500.0000000005</v>
      </c>
      <c r="I85" s="190">
        <f>0.41*12500000</f>
        <v>5125000</v>
      </c>
      <c r="J85" s="190">
        <f>0.3*25000000</f>
        <v>7500000</v>
      </c>
      <c r="K85" s="190">
        <f>0.22*(B85-50000000)</f>
        <v>1732500</v>
      </c>
      <c r="L85" s="191">
        <f t="shared" ref="L85:L119" si="6">SUM(F85:K85)</f>
        <v>23107500</v>
      </c>
      <c r="M85" s="190">
        <f t="shared" ref="M85:M119" si="7">L85</f>
        <v>23107500</v>
      </c>
      <c r="N85" s="190">
        <f t="shared" ref="N85:N119" si="8">L85</f>
        <v>23107500</v>
      </c>
      <c r="O85" s="190">
        <f t="shared" ref="O85:O119" si="9">L85</f>
        <v>23107500</v>
      </c>
      <c r="P85" s="190">
        <f>SUM(L85:O85)</f>
        <v>92430000</v>
      </c>
    </row>
    <row r="86" spans="1:17">
      <c r="A86" s="102" t="s">
        <v>97</v>
      </c>
      <c r="B86" s="8">
        <f t="shared" si="0"/>
        <v>26200000</v>
      </c>
      <c r="C86" s="8">
        <f t="shared" si="1"/>
        <v>26200000</v>
      </c>
      <c r="D86" s="8">
        <f t="shared" si="2"/>
        <v>26200000</v>
      </c>
      <c r="E86" s="8">
        <f t="shared" si="3"/>
        <v>26200000</v>
      </c>
      <c r="F86" s="191">
        <f t="shared" si="4"/>
        <v>2500000</v>
      </c>
      <c r="G86" s="190">
        <f t="shared" si="5"/>
        <v>2812500</v>
      </c>
      <c r="H86" s="190">
        <f>0.55*6250000</f>
        <v>3437500.0000000005</v>
      </c>
      <c r="I86" s="190">
        <f>0.41*12500000</f>
        <v>5125000</v>
      </c>
      <c r="J86" s="190">
        <f>0.3*(B86-25000000)</f>
        <v>360000</v>
      </c>
      <c r="K86" s="190">
        <v>0</v>
      </c>
      <c r="L86" s="191">
        <f t="shared" si="6"/>
        <v>14235000</v>
      </c>
      <c r="M86" s="190">
        <f t="shared" si="7"/>
        <v>14235000</v>
      </c>
      <c r="N86" s="190">
        <f t="shared" si="8"/>
        <v>14235000</v>
      </c>
      <c r="O86" s="190">
        <f t="shared" si="9"/>
        <v>14235000</v>
      </c>
      <c r="P86" s="190">
        <f>SUM(L86:O86)</f>
        <v>56940000</v>
      </c>
      <c r="Q86" s="1" t="s">
        <v>11</v>
      </c>
    </row>
    <row r="87" spans="1:17">
      <c r="A87" s="102" t="s">
        <v>1240</v>
      </c>
      <c r="B87" s="8">
        <f t="shared" si="0"/>
        <v>12500000</v>
      </c>
      <c r="C87" s="8">
        <f t="shared" si="1"/>
        <v>12500000</v>
      </c>
      <c r="D87" s="8">
        <f t="shared" si="2"/>
        <v>12500000</v>
      </c>
      <c r="E87" s="8">
        <f t="shared" si="3"/>
        <v>12500000</v>
      </c>
      <c r="F87" s="191">
        <f t="shared" si="4"/>
        <v>2500000</v>
      </c>
      <c r="G87" s="190">
        <f t="shared" si="5"/>
        <v>2812500</v>
      </c>
      <c r="H87" s="190">
        <f>0.55*6250000</f>
        <v>3437500.0000000005</v>
      </c>
      <c r="I87" s="190">
        <v>0</v>
      </c>
      <c r="J87" s="190">
        <v>0</v>
      </c>
      <c r="K87" s="190">
        <v>0</v>
      </c>
      <c r="L87" s="191">
        <f t="shared" si="6"/>
        <v>8750000</v>
      </c>
      <c r="M87" s="190">
        <f t="shared" si="7"/>
        <v>8750000</v>
      </c>
      <c r="N87" s="190">
        <f t="shared" si="8"/>
        <v>8750000</v>
      </c>
      <c r="O87" s="190">
        <f t="shared" si="9"/>
        <v>8750000</v>
      </c>
      <c r="P87" s="190">
        <f>SUM(L87:O87)</f>
        <v>35000000</v>
      </c>
    </row>
    <row r="88" spans="1:17">
      <c r="A88" s="84" t="s">
        <v>128</v>
      </c>
      <c r="B88" s="8">
        <f t="shared" si="0"/>
        <v>17675000</v>
      </c>
      <c r="C88" s="8">
        <f t="shared" si="1"/>
        <v>17675000</v>
      </c>
      <c r="D88" s="8">
        <f t="shared" si="2"/>
        <v>17675000</v>
      </c>
      <c r="E88" s="8">
        <f t="shared" si="3"/>
        <v>17675000</v>
      </c>
      <c r="F88" s="191">
        <f t="shared" si="4"/>
        <v>2500000</v>
      </c>
      <c r="G88" s="190">
        <f t="shared" si="5"/>
        <v>2812500</v>
      </c>
      <c r="H88" s="190">
        <f>0.55*6250000</f>
        <v>3437500.0000000005</v>
      </c>
      <c r="I88" s="190">
        <f>0.41*(B88-12500000)</f>
        <v>2121750</v>
      </c>
      <c r="J88" s="190">
        <v>0</v>
      </c>
      <c r="K88" s="190">
        <v>0</v>
      </c>
      <c r="L88" s="191">
        <f t="shared" si="6"/>
        <v>10871750</v>
      </c>
      <c r="M88" s="190">
        <f t="shared" si="7"/>
        <v>10871750</v>
      </c>
      <c r="N88" s="190">
        <f t="shared" si="8"/>
        <v>10871750</v>
      </c>
      <c r="O88" s="190">
        <f t="shared" si="9"/>
        <v>10871750</v>
      </c>
      <c r="P88" s="190">
        <f t="shared" ref="P88:P119" si="10">SUM(L88:O88)</f>
        <v>43487000</v>
      </c>
    </row>
    <row r="89" spans="1:17">
      <c r="A89" s="84" t="s">
        <v>1241</v>
      </c>
      <c r="B89" s="8">
        <f t="shared" si="0"/>
        <v>10125000</v>
      </c>
      <c r="C89" s="8">
        <f t="shared" si="1"/>
        <v>10125000</v>
      </c>
      <c r="D89" s="8">
        <f t="shared" si="2"/>
        <v>10125000</v>
      </c>
      <c r="E89" s="8">
        <f t="shared" si="3"/>
        <v>10125000</v>
      </c>
      <c r="F89" s="191">
        <f t="shared" si="4"/>
        <v>2500000</v>
      </c>
      <c r="G89" s="190">
        <f t="shared" si="5"/>
        <v>2812500</v>
      </c>
      <c r="H89" s="190">
        <f>0.55*(B89-6250000)</f>
        <v>2131250</v>
      </c>
      <c r="I89" s="190">
        <v>0</v>
      </c>
      <c r="J89" s="190">
        <v>0</v>
      </c>
      <c r="K89" s="190">
        <v>0</v>
      </c>
      <c r="L89" s="191">
        <f t="shared" si="6"/>
        <v>7443750</v>
      </c>
      <c r="M89" s="190">
        <f t="shared" si="7"/>
        <v>7443750</v>
      </c>
      <c r="N89" s="190">
        <f t="shared" si="8"/>
        <v>7443750</v>
      </c>
      <c r="O89" s="190">
        <f t="shared" si="9"/>
        <v>7443750</v>
      </c>
      <c r="P89" s="190">
        <f t="shared" si="10"/>
        <v>29775000</v>
      </c>
    </row>
    <row r="90" spans="1:17">
      <c r="A90" s="84" t="s">
        <v>1242</v>
      </c>
      <c r="B90" s="8">
        <f t="shared" si="0"/>
        <v>14925000</v>
      </c>
      <c r="C90" s="8">
        <f t="shared" si="1"/>
        <v>14925000</v>
      </c>
      <c r="D90" s="8">
        <f t="shared" si="2"/>
        <v>14925000</v>
      </c>
      <c r="E90" s="8">
        <f t="shared" si="3"/>
        <v>14925000</v>
      </c>
      <c r="F90" s="191">
        <f t="shared" si="4"/>
        <v>2500000</v>
      </c>
      <c r="G90" s="190">
        <f t="shared" si="5"/>
        <v>2812500</v>
      </c>
      <c r="H90" s="190">
        <f>0.55*6250000</f>
        <v>3437500.0000000005</v>
      </c>
      <c r="I90" s="190">
        <f>0.41*(B90-12500000)</f>
        <v>994249.99999999988</v>
      </c>
      <c r="J90" s="190">
        <v>0</v>
      </c>
      <c r="K90" s="190">
        <v>0</v>
      </c>
      <c r="L90" s="191">
        <f t="shared" si="6"/>
        <v>9744250</v>
      </c>
      <c r="M90" s="190">
        <f t="shared" si="7"/>
        <v>9744250</v>
      </c>
      <c r="N90" s="190">
        <f t="shared" si="8"/>
        <v>9744250</v>
      </c>
      <c r="O90" s="190">
        <f t="shared" si="9"/>
        <v>9744250</v>
      </c>
      <c r="P90" s="190">
        <f t="shared" si="10"/>
        <v>38977000</v>
      </c>
    </row>
    <row r="91" spans="1:17">
      <c r="A91" s="84" t="s">
        <v>93</v>
      </c>
      <c r="B91" s="8">
        <f t="shared" si="0"/>
        <v>14050000</v>
      </c>
      <c r="C91" s="8">
        <f t="shared" si="1"/>
        <v>14050000</v>
      </c>
      <c r="D91" s="8">
        <f t="shared" si="2"/>
        <v>14050000</v>
      </c>
      <c r="E91" s="8">
        <f t="shared" si="3"/>
        <v>14050000</v>
      </c>
      <c r="F91" s="191">
        <f t="shared" ref="F91:F92" si="11">1*2500000</f>
        <v>2500000</v>
      </c>
      <c r="G91" s="190">
        <f t="shared" ref="G91:G92" si="12">0.75*3750000</f>
        <v>2812500</v>
      </c>
      <c r="H91" s="190">
        <f t="shared" ref="H91:H92" si="13">0.55*6250000</f>
        <v>3437500.0000000005</v>
      </c>
      <c r="I91" s="190">
        <f t="shared" ref="I91:I92" si="14">0.41*(B91-12500000)</f>
        <v>635500</v>
      </c>
      <c r="J91" s="190">
        <v>0</v>
      </c>
      <c r="K91" s="190">
        <v>0</v>
      </c>
      <c r="L91" s="191">
        <f t="shared" si="6"/>
        <v>9385500</v>
      </c>
      <c r="M91" s="190">
        <f t="shared" si="7"/>
        <v>9385500</v>
      </c>
      <c r="N91" s="190">
        <f t="shared" si="8"/>
        <v>9385500</v>
      </c>
      <c r="O91" s="190">
        <f t="shared" si="9"/>
        <v>9385500</v>
      </c>
      <c r="P91" s="190">
        <f t="shared" si="10"/>
        <v>37542000</v>
      </c>
    </row>
    <row r="92" spans="1:17">
      <c r="A92" s="84" t="s">
        <v>109</v>
      </c>
      <c r="B92" s="8">
        <f t="shared" si="0"/>
        <v>18500000</v>
      </c>
      <c r="C92" s="8">
        <f t="shared" si="1"/>
        <v>18500000</v>
      </c>
      <c r="D92" s="8">
        <f t="shared" si="2"/>
        <v>18500000</v>
      </c>
      <c r="E92" s="8">
        <f t="shared" si="3"/>
        <v>18500000</v>
      </c>
      <c r="F92" s="191">
        <f t="shared" si="11"/>
        <v>2500000</v>
      </c>
      <c r="G92" s="190">
        <f t="shared" si="12"/>
        <v>2812500</v>
      </c>
      <c r="H92" s="190">
        <f t="shared" si="13"/>
        <v>3437500.0000000005</v>
      </c>
      <c r="I92" s="190">
        <f t="shared" si="14"/>
        <v>2460000</v>
      </c>
      <c r="J92" s="190">
        <v>0</v>
      </c>
      <c r="K92" s="190">
        <v>0</v>
      </c>
      <c r="L92" s="191">
        <f t="shared" si="6"/>
        <v>11210000</v>
      </c>
      <c r="M92" s="190">
        <f t="shared" si="7"/>
        <v>11210000</v>
      </c>
      <c r="N92" s="190">
        <f t="shared" si="8"/>
        <v>11210000</v>
      </c>
      <c r="O92" s="190">
        <f t="shared" si="9"/>
        <v>11210000</v>
      </c>
      <c r="P92" s="190">
        <f t="shared" si="10"/>
        <v>44840000</v>
      </c>
    </row>
    <row r="93" spans="1:17">
      <c r="A93" s="84" t="s">
        <v>1243</v>
      </c>
      <c r="B93" s="8">
        <f t="shared" si="0"/>
        <v>11125000</v>
      </c>
      <c r="C93" s="8">
        <f t="shared" si="1"/>
        <v>11125000</v>
      </c>
      <c r="D93" s="8">
        <f t="shared" si="2"/>
        <v>11125000</v>
      </c>
      <c r="E93" s="8">
        <f t="shared" si="3"/>
        <v>11125000</v>
      </c>
      <c r="F93" s="191">
        <f>1*2500000</f>
        <v>2500000</v>
      </c>
      <c r="G93" s="190">
        <f>0.75*3750000</f>
        <v>2812500</v>
      </c>
      <c r="H93" s="190">
        <f>0.55*(B93-6250000)</f>
        <v>2681250</v>
      </c>
      <c r="I93" s="190">
        <v>0</v>
      </c>
      <c r="J93" s="190">
        <v>0</v>
      </c>
      <c r="K93" s="190">
        <v>0</v>
      </c>
      <c r="L93" s="191">
        <f t="shared" si="6"/>
        <v>7993750</v>
      </c>
      <c r="M93" s="190">
        <f t="shared" si="7"/>
        <v>7993750</v>
      </c>
      <c r="N93" s="190">
        <f t="shared" si="8"/>
        <v>7993750</v>
      </c>
      <c r="O93" s="190">
        <f t="shared" si="9"/>
        <v>7993750</v>
      </c>
      <c r="P93" s="190">
        <f t="shared" si="10"/>
        <v>31975000</v>
      </c>
    </row>
    <row r="94" spans="1:17">
      <c r="A94" s="84" t="s">
        <v>1244</v>
      </c>
      <c r="B94" s="8">
        <f t="shared" si="0"/>
        <v>5050000</v>
      </c>
      <c r="C94" s="8">
        <f t="shared" si="1"/>
        <v>5050000</v>
      </c>
      <c r="D94" s="8">
        <f t="shared" si="2"/>
        <v>5050000</v>
      </c>
      <c r="E94" s="8">
        <f t="shared" si="3"/>
        <v>5050000</v>
      </c>
      <c r="F94" s="191">
        <f t="shared" ref="F94:F119" si="15">1*2500000</f>
        <v>2500000</v>
      </c>
      <c r="G94" s="190">
        <f>0.75*(B94-2500000)</f>
        <v>1912500</v>
      </c>
      <c r="H94" s="190">
        <v>0</v>
      </c>
      <c r="I94" s="190">
        <v>0</v>
      </c>
      <c r="J94" s="190">
        <v>0</v>
      </c>
      <c r="K94" s="190">
        <v>0</v>
      </c>
      <c r="L94" s="191">
        <f t="shared" si="6"/>
        <v>4412500</v>
      </c>
      <c r="M94" s="190">
        <f t="shared" si="7"/>
        <v>4412500</v>
      </c>
      <c r="N94" s="190">
        <f t="shared" si="8"/>
        <v>4412500</v>
      </c>
      <c r="O94" s="190">
        <f t="shared" si="9"/>
        <v>4412500</v>
      </c>
      <c r="P94" s="190">
        <f t="shared" si="10"/>
        <v>17650000</v>
      </c>
    </row>
    <row r="95" spans="1:17">
      <c r="A95" s="84" t="s">
        <v>125</v>
      </c>
      <c r="B95" s="8">
        <f t="shared" si="0"/>
        <v>3600000</v>
      </c>
      <c r="C95" s="8">
        <f t="shared" si="1"/>
        <v>3600000</v>
      </c>
      <c r="D95" s="8">
        <f t="shared" si="2"/>
        <v>3600000</v>
      </c>
      <c r="E95" s="8">
        <f t="shared" si="3"/>
        <v>3600000</v>
      </c>
      <c r="F95" s="191">
        <f t="shared" si="15"/>
        <v>2500000</v>
      </c>
      <c r="G95" s="190">
        <f t="shared" ref="G95:G119" si="16">0.75*(B95-2500000)</f>
        <v>825000</v>
      </c>
      <c r="H95" s="190">
        <v>0</v>
      </c>
      <c r="I95" s="190">
        <v>0</v>
      </c>
      <c r="J95" s="190">
        <v>0</v>
      </c>
      <c r="K95" s="190">
        <v>0</v>
      </c>
      <c r="L95" s="191">
        <f t="shared" si="6"/>
        <v>3325000</v>
      </c>
      <c r="M95" s="190">
        <f t="shared" si="7"/>
        <v>3325000</v>
      </c>
      <c r="N95" s="190">
        <f t="shared" si="8"/>
        <v>3325000</v>
      </c>
      <c r="O95" s="190">
        <f t="shared" si="9"/>
        <v>3325000</v>
      </c>
      <c r="P95" s="190">
        <f t="shared" si="10"/>
        <v>13300000</v>
      </c>
    </row>
    <row r="96" spans="1:17">
      <c r="A96" s="84" t="s">
        <v>2745</v>
      </c>
      <c r="B96" s="8">
        <v>3546875</v>
      </c>
      <c r="C96" s="8">
        <v>3546875</v>
      </c>
      <c r="D96" s="8">
        <v>3546875</v>
      </c>
      <c r="E96" s="8">
        <v>3546875</v>
      </c>
      <c r="F96" s="191">
        <f t="shared" si="15"/>
        <v>2500000</v>
      </c>
      <c r="G96" s="190">
        <f t="shared" si="16"/>
        <v>785156.25</v>
      </c>
      <c r="H96" s="190">
        <v>0</v>
      </c>
      <c r="I96" s="190">
        <v>0</v>
      </c>
      <c r="J96" s="190">
        <v>0</v>
      </c>
      <c r="K96" s="190">
        <v>0</v>
      </c>
      <c r="L96" s="191">
        <f t="shared" si="6"/>
        <v>3285156.25</v>
      </c>
      <c r="M96" s="190">
        <f t="shared" si="7"/>
        <v>3285156.25</v>
      </c>
      <c r="N96" s="190">
        <f t="shared" si="8"/>
        <v>3285156.25</v>
      </c>
      <c r="O96" s="190">
        <f t="shared" si="9"/>
        <v>3285156.25</v>
      </c>
      <c r="P96" s="190">
        <f t="shared" si="10"/>
        <v>13140625</v>
      </c>
    </row>
    <row r="97" spans="1:16">
      <c r="A97" s="106" t="s">
        <v>2746</v>
      </c>
      <c r="B97" s="8">
        <v>3546875</v>
      </c>
      <c r="C97" s="8">
        <v>3546875</v>
      </c>
      <c r="D97" s="8">
        <v>3546875</v>
      </c>
      <c r="E97" s="8">
        <v>3546875</v>
      </c>
      <c r="F97" s="191">
        <f t="shared" si="15"/>
        <v>2500000</v>
      </c>
      <c r="G97" s="190">
        <f t="shared" si="16"/>
        <v>785156.25</v>
      </c>
      <c r="H97" s="190">
        <v>0</v>
      </c>
      <c r="I97" s="190">
        <v>0</v>
      </c>
      <c r="J97" s="190">
        <v>0</v>
      </c>
      <c r="K97" s="190">
        <v>0</v>
      </c>
      <c r="L97" s="191">
        <f t="shared" si="6"/>
        <v>3285156.25</v>
      </c>
      <c r="M97" s="190">
        <f t="shared" si="7"/>
        <v>3285156.25</v>
      </c>
      <c r="N97" s="190">
        <f t="shared" si="8"/>
        <v>3285156.25</v>
      </c>
      <c r="O97" s="190">
        <f t="shared" si="9"/>
        <v>3285156.25</v>
      </c>
      <c r="P97" s="190">
        <f t="shared" si="10"/>
        <v>13140625</v>
      </c>
    </row>
    <row r="98" spans="1:16">
      <c r="A98" s="106" t="s">
        <v>2747</v>
      </c>
      <c r="B98" s="8">
        <v>3546875</v>
      </c>
      <c r="C98" s="8">
        <v>3546875</v>
      </c>
      <c r="D98" s="8">
        <v>3546875</v>
      </c>
      <c r="E98" s="8">
        <v>3546875</v>
      </c>
      <c r="F98" s="191">
        <f t="shared" si="15"/>
        <v>2500000</v>
      </c>
      <c r="G98" s="190">
        <f t="shared" si="16"/>
        <v>785156.25</v>
      </c>
      <c r="H98" s="190">
        <v>0</v>
      </c>
      <c r="I98" s="190">
        <v>0</v>
      </c>
      <c r="J98" s="190">
        <v>0</v>
      </c>
      <c r="K98" s="190">
        <v>0</v>
      </c>
      <c r="L98" s="191">
        <f t="shared" si="6"/>
        <v>3285156.25</v>
      </c>
      <c r="M98" s="190">
        <f t="shared" si="7"/>
        <v>3285156.25</v>
      </c>
      <c r="N98" s="190">
        <f t="shared" si="8"/>
        <v>3285156.25</v>
      </c>
      <c r="O98" s="190">
        <f t="shared" si="9"/>
        <v>3285156.25</v>
      </c>
      <c r="P98" s="190">
        <f t="shared" si="10"/>
        <v>13140625</v>
      </c>
    </row>
    <row r="99" spans="1:16">
      <c r="A99" s="106" t="s">
        <v>2748</v>
      </c>
      <c r="B99" s="8">
        <v>3546875</v>
      </c>
      <c r="C99" s="8">
        <v>3546875</v>
      </c>
      <c r="D99" s="8">
        <v>3546875</v>
      </c>
      <c r="E99" s="8">
        <v>3546875</v>
      </c>
      <c r="F99" s="191">
        <f t="shared" si="15"/>
        <v>2500000</v>
      </c>
      <c r="G99" s="190">
        <f t="shared" si="16"/>
        <v>785156.25</v>
      </c>
      <c r="H99" s="190">
        <v>0</v>
      </c>
      <c r="I99" s="190">
        <v>0</v>
      </c>
      <c r="J99" s="190">
        <v>0</v>
      </c>
      <c r="K99" s="190">
        <v>0</v>
      </c>
      <c r="L99" s="191">
        <f t="shared" si="6"/>
        <v>3285156.25</v>
      </c>
      <c r="M99" s="190">
        <f t="shared" si="7"/>
        <v>3285156.25</v>
      </c>
      <c r="N99" s="190">
        <f t="shared" si="8"/>
        <v>3285156.25</v>
      </c>
      <c r="O99" s="190">
        <f t="shared" si="9"/>
        <v>3285156.25</v>
      </c>
      <c r="P99" s="190">
        <f t="shared" si="10"/>
        <v>13140625</v>
      </c>
    </row>
    <row r="100" spans="1:16">
      <c r="A100" s="106" t="s">
        <v>2749</v>
      </c>
      <c r="B100" s="8">
        <v>3546875</v>
      </c>
      <c r="C100" s="8">
        <v>3546875</v>
      </c>
      <c r="D100" s="8">
        <v>3546875</v>
      </c>
      <c r="E100" s="8">
        <v>3546875</v>
      </c>
      <c r="F100" s="191">
        <f t="shared" si="15"/>
        <v>2500000</v>
      </c>
      <c r="G100" s="190">
        <f t="shared" si="16"/>
        <v>785156.25</v>
      </c>
      <c r="H100" s="190">
        <v>0</v>
      </c>
      <c r="I100" s="190">
        <v>0</v>
      </c>
      <c r="J100" s="190">
        <v>0</v>
      </c>
      <c r="K100" s="190">
        <v>0</v>
      </c>
      <c r="L100" s="191">
        <f t="shared" si="6"/>
        <v>3285156.25</v>
      </c>
      <c r="M100" s="190">
        <f t="shared" si="7"/>
        <v>3285156.25</v>
      </c>
      <c r="N100" s="190">
        <f t="shared" si="8"/>
        <v>3285156.25</v>
      </c>
      <c r="O100" s="190">
        <f t="shared" si="9"/>
        <v>3285156.25</v>
      </c>
      <c r="P100" s="190">
        <f t="shared" si="10"/>
        <v>13140625</v>
      </c>
    </row>
    <row r="101" spans="1:16">
      <c r="A101" s="106" t="s">
        <v>2750</v>
      </c>
      <c r="B101" s="8">
        <v>3546875</v>
      </c>
      <c r="C101" s="8">
        <v>3546875</v>
      </c>
      <c r="D101" s="8">
        <v>3546875</v>
      </c>
      <c r="E101" s="8">
        <v>3546875</v>
      </c>
      <c r="F101" s="191">
        <f t="shared" si="15"/>
        <v>2500000</v>
      </c>
      <c r="G101" s="190">
        <f t="shared" si="16"/>
        <v>785156.25</v>
      </c>
      <c r="H101" s="190">
        <v>0</v>
      </c>
      <c r="I101" s="190">
        <v>0</v>
      </c>
      <c r="J101" s="190">
        <v>0</v>
      </c>
      <c r="K101" s="190">
        <v>0</v>
      </c>
      <c r="L101" s="191">
        <f t="shared" si="6"/>
        <v>3285156.25</v>
      </c>
      <c r="M101" s="190">
        <f t="shared" si="7"/>
        <v>3285156.25</v>
      </c>
      <c r="N101" s="190">
        <f t="shared" si="8"/>
        <v>3285156.25</v>
      </c>
      <c r="O101" s="190">
        <f t="shared" si="9"/>
        <v>3285156.25</v>
      </c>
      <c r="P101" s="190">
        <f t="shared" si="10"/>
        <v>13140625</v>
      </c>
    </row>
    <row r="102" spans="1:16">
      <c r="A102" s="106" t="s">
        <v>2751</v>
      </c>
      <c r="B102" s="8">
        <v>3546875</v>
      </c>
      <c r="C102" s="8">
        <v>3546875</v>
      </c>
      <c r="D102" s="8">
        <v>3546875</v>
      </c>
      <c r="E102" s="8">
        <v>3546875</v>
      </c>
      <c r="F102" s="191">
        <f t="shared" si="15"/>
        <v>2500000</v>
      </c>
      <c r="G102" s="190">
        <f t="shared" si="16"/>
        <v>785156.25</v>
      </c>
      <c r="H102" s="190">
        <v>0</v>
      </c>
      <c r="I102" s="190">
        <v>0</v>
      </c>
      <c r="J102" s="190">
        <v>0</v>
      </c>
      <c r="K102" s="190">
        <v>0</v>
      </c>
      <c r="L102" s="191">
        <f t="shared" si="6"/>
        <v>3285156.25</v>
      </c>
      <c r="M102" s="190">
        <f t="shared" si="7"/>
        <v>3285156.25</v>
      </c>
      <c r="N102" s="190">
        <f t="shared" si="8"/>
        <v>3285156.25</v>
      </c>
      <c r="O102" s="190">
        <f t="shared" si="9"/>
        <v>3285156.25</v>
      </c>
      <c r="P102" s="190">
        <f t="shared" si="10"/>
        <v>13140625</v>
      </c>
    </row>
    <row r="103" spans="1:16">
      <c r="A103" s="106" t="s">
        <v>2752</v>
      </c>
      <c r="B103" s="8">
        <v>3546875</v>
      </c>
      <c r="C103" s="8">
        <v>3546875</v>
      </c>
      <c r="D103" s="8">
        <v>3546875</v>
      </c>
      <c r="E103" s="8">
        <v>3546875</v>
      </c>
      <c r="F103" s="191">
        <f t="shared" si="15"/>
        <v>2500000</v>
      </c>
      <c r="G103" s="190">
        <f t="shared" si="16"/>
        <v>785156.25</v>
      </c>
      <c r="H103" s="190">
        <v>0</v>
      </c>
      <c r="I103" s="190">
        <v>0</v>
      </c>
      <c r="J103" s="190">
        <v>0</v>
      </c>
      <c r="K103" s="190">
        <v>0</v>
      </c>
      <c r="L103" s="191">
        <f t="shared" si="6"/>
        <v>3285156.25</v>
      </c>
      <c r="M103" s="190">
        <f t="shared" si="7"/>
        <v>3285156.25</v>
      </c>
      <c r="N103" s="190">
        <f t="shared" si="8"/>
        <v>3285156.25</v>
      </c>
      <c r="O103" s="190">
        <f t="shared" si="9"/>
        <v>3285156.25</v>
      </c>
      <c r="P103" s="190">
        <f t="shared" si="10"/>
        <v>13140625</v>
      </c>
    </row>
    <row r="104" spans="1:16">
      <c r="A104" s="106" t="s">
        <v>2753</v>
      </c>
      <c r="B104" s="8">
        <v>3546875</v>
      </c>
      <c r="C104" s="8">
        <v>3546875</v>
      </c>
      <c r="D104" s="8">
        <v>3546875</v>
      </c>
      <c r="E104" s="8">
        <v>3546875</v>
      </c>
      <c r="F104" s="191">
        <f t="shared" si="15"/>
        <v>2500000</v>
      </c>
      <c r="G104" s="190">
        <f t="shared" si="16"/>
        <v>785156.25</v>
      </c>
      <c r="H104" s="190">
        <v>0</v>
      </c>
      <c r="I104" s="190">
        <v>0</v>
      </c>
      <c r="J104" s="190">
        <v>0</v>
      </c>
      <c r="K104" s="190">
        <v>0</v>
      </c>
      <c r="L104" s="191">
        <f t="shared" si="6"/>
        <v>3285156.25</v>
      </c>
      <c r="M104" s="190">
        <f t="shared" si="7"/>
        <v>3285156.25</v>
      </c>
      <c r="N104" s="190">
        <f t="shared" si="8"/>
        <v>3285156.25</v>
      </c>
      <c r="O104" s="190">
        <f t="shared" si="9"/>
        <v>3285156.25</v>
      </c>
      <c r="P104" s="190">
        <f t="shared" si="10"/>
        <v>13140625</v>
      </c>
    </row>
    <row r="105" spans="1:16">
      <c r="A105" s="106" t="s">
        <v>2754</v>
      </c>
      <c r="B105" s="8">
        <v>3546875</v>
      </c>
      <c r="C105" s="8">
        <v>3546875</v>
      </c>
      <c r="D105" s="8">
        <v>3546875</v>
      </c>
      <c r="E105" s="8">
        <v>3546875</v>
      </c>
      <c r="F105" s="191">
        <f t="shared" si="15"/>
        <v>2500000</v>
      </c>
      <c r="G105" s="190">
        <f t="shared" si="16"/>
        <v>785156.25</v>
      </c>
      <c r="H105" s="190">
        <v>0</v>
      </c>
      <c r="I105" s="190">
        <v>0</v>
      </c>
      <c r="J105" s="190">
        <v>0</v>
      </c>
      <c r="K105" s="190">
        <v>0</v>
      </c>
      <c r="L105" s="191">
        <f t="shared" si="6"/>
        <v>3285156.25</v>
      </c>
      <c r="M105" s="190">
        <f t="shared" si="7"/>
        <v>3285156.25</v>
      </c>
      <c r="N105" s="190">
        <f t="shared" si="8"/>
        <v>3285156.25</v>
      </c>
      <c r="O105" s="190">
        <f t="shared" si="9"/>
        <v>3285156.25</v>
      </c>
      <c r="P105" s="190">
        <f t="shared" si="10"/>
        <v>13140625</v>
      </c>
    </row>
    <row r="106" spans="1:16">
      <c r="A106" s="106" t="s">
        <v>2755</v>
      </c>
      <c r="B106" s="8">
        <v>3546875</v>
      </c>
      <c r="C106" s="8">
        <v>3546875</v>
      </c>
      <c r="D106" s="8">
        <v>3546875</v>
      </c>
      <c r="E106" s="8">
        <v>3546875</v>
      </c>
      <c r="F106" s="191">
        <f t="shared" si="15"/>
        <v>2500000</v>
      </c>
      <c r="G106" s="190">
        <f t="shared" si="16"/>
        <v>785156.25</v>
      </c>
      <c r="H106" s="190">
        <v>0</v>
      </c>
      <c r="I106" s="190">
        <v>0</v>
      </c>
      <c r="J106" s="190">
        <v>0</v>
      </c>
      <c r="K106" s="190">
        <v>0</v>
      </c>
      <c r="L106" s="191">
        <f t="shared" si="6"/>
        <v>3285156.25</v>
      </c>
      <c r="M106" s="190">
        <f t="shared" si="7"/>
        <v>3285156.25</v>
      </c>
      <c r="N106" s="190">
        <f t="shared" si="8"/>
        <v>3285156.25</v>
      </c>
      <c r="O106" s="190">
        <f t="shared" si="9"/>
        <v>3285156.25</v>
      </c>
      <c r="P106" s="190">
        <f t="shared" si="10"/>
        <v>13140625</v>
      </c>
    </row>
    <row r="107" spans="1:16">
      <c r="A107" s="106" t="s">
        <v>2756</v>
      </c>
      <c r="B107" s="8">
        <v>3546875</v>
      </c>
      <c r="C107" s="8">
        <v>3546875</v>
      </c>
      <c r="D107" s="8">
        <v>3546875</v>
      </c>
      <c r="E107" s="8">
        <v>3546875</v>
      </c>
      <c r="F107" s="191">
        <f t="shared" si="15"/>
        <v>2500000</v>
      </c>
      <c r="G107" s="190">
        <f t="shared" si="16"/>
        <v>785156.25</v>
      </c>
      <c r="H107" s="190">
        <v>0</v>
      </c>
      <c r="I107" s="190">
        <v>0</v>
      </c>
      <c r="J107" s="190">
        <v>0</v>
      </c>
      <c r="K107" s="190">
        <v>0</v>
      </c>
      <c r="L107" s="191">
        <f t="shared" si="6"/>
        <v>3285156.25</v>
      </c>
      <c r="M107" s="190">
        <f t="shared" si="7"/>
        <v>3285156.25</v>
      </c>
      <c r="N107" s="190">
        <f t="shared" si="8"/>
        <v>3285156.25</v>
      </c>
      <c r="O107" s="190">
        <f t="shared" si="9"/>
        <v>3285156.25</v>
      </c>
      <c r="P107" s="190">
        <f t="shared" si="10"/>
        <v>13140625</v>
      </c>
    </row>
    <row r="108" spans="1:16">
      <c r="A108" s="106" t="s">
        <v>2757</v>
      </c>
      <c r="B108" s="8">
        <v>3546875</v>
      </c>
      <c r="C108" s="8">
        <v>3546875</v>
      </c>
      <c r="D108" s="8">
        <v>3546875</v>
      </c>
      <c r="E108" s="8">
        <v>3546875</v>
      </c>
      <c r="F108" s="191">
        <f t="shared" si="15"/>
        <v>2500000</v>
      </c>
      <c r="G108" s="190">
        <f t="shared" si="16"/>
        <v>785156.25</v>
      </c>
      <c r="H108" s="190">
        <v>0</v>
      </c>
      <c r="I108" s="190">
        <v>0</v>
      </c>
      <c r="J108" s="190">
        <v>0</v>
      </c>
      <c r="K108" s="190">
        <v>0</v>
      </c>
      <c r="L108" s="191">
        <f t="shared" si="6"/>
        <v>3285156.25</v>
      </c>
      <c r="M108" s="190">
        <f t="shared" si="7"/>
        <v>3285156.25</v>
      </c>
      <c r="N108" s="190">
        <f t="shared" si="8"/>
        <v>3285156.25</v>
      </c>
      <c r="O108" s="190">
        <f t="shared" si="9"/>
        <v>3285156.25</v>
      </c>
      <c r="P108" s="190">
        <f t="shared" si="10"/>
        <v>13140625</v>
      </c>
    </row>
    <row r="109" spans="1:16">
      <c r="A109" s="106" t="s">
        <v>2758</v>
      </c>
      <c r="B109" s="8">
        <v>3546875</v>
      </c>
      <c r="C109" s="8">
        <v>3546875</v>
      </c>
      <c r="D109" s="8">
        <v>3546875</v>
      </c>
      <c r="E109" s="8">
        <v>3546875</v>
      </c>
      <c r="F109" s="191">
        <f t="shared" si="15"/>
        <v>2500000</v>
      </c>
      <c r="G109" s="190">
        <f t="shared" si="16"/>
        <v>785156.25</v>
      </c>
      <c r="H109" s="190">
        <v>0</v>
      </c>
      <c r="I109" s="190">
        <v>0</v>
      </c>
      <c r="J109" s="190">
        <v>0</v>
      </c>
      <c r="K109" s="190">
        <v>0</v>
      </c>
      <c r="L109" s="191">
        <f t="shared" si="6"/>
        <v>3285156.25</v>
      </c>
      <c r="M109" s="190">
        <f t="shared" si="7"/>
        <v>3285156.25</v>
      </c>
      <c r="N109" s="190">
        <f t="shared" si="8"/>
        <v>3285156.25</v>
      </c>
      <c r="O109" s="190">
        <f t="shared" si="9"/>
        <v>3285156.25</v>
      </c>
      <c r="P109" s="190">
        <f t="shared" si="10"/>
        <v>13140625</v>
      </c>
    </row>
    <row r="110" spans="1:16">
      <c r="A110" s="106" t="s">
        <v>2759</v>
      </c>
      <c r="B110" s="8">
        <v>3546875</v>
      </c>
      <c r="C110" s="8">
        <v>3546875</v>
      </c>
      <c r="D110" s="8">
        <v>3546875</v>
      </c>
      <c r="E110" s="8">
        <v>3546875</v>
      </c>
      <c r="F110" s="191">
        <f t="shared" si="15"/>
        <v>2500000</v>
      </c>
      <c r="G110" s="190">
        <f t="shared" si="16"/>
        <v>785156.25</v>
      </c>
      <c r="H110" s="190">
        <v>0</v>
      </c>
      <c r="I110" s="190">
        <v>0</v>
      </c>
      <c r="J110" s="190">
        <v>0</v>
      </c>
      <c r="K110" s="190">
        <v>0</v>
      </c>
      <c r="L110" s="191">
        <f t="shared" si="6"/>
        <v>3285156.25</v>
      </c>
      <c r="M110" s="190">
        <f t="shared" si="7"/>
        <v>3285156.25</v>
      </c>
      <c r="N110" s="190">
        <f t="shared" si="8"/>
        <v>3285156.25</v>
      </c>
      <c r="O110" s="190">
        <f t="shared" si="9"/>
        <v>3285156.25</v>
      </c>
      <c r="P110" s="190">
        <f t="shared" si="10"/>
        <v>13140625</v>
      </c>
    </row>
    <row r="111" spans="1:16">
      <c r="A111" s="106" t="s">
        <v>2760</v>
      </c>
      <c r="B111" s="8">
        <v>3546875</v>
      </c>
      <c r="C111" s="8">
        <v>3546875</v>
      </c>
      <c r="D111" s="8">
        <v>3546875</v>
      </c>
      <c r="E111" s="8">
        <v>3546875</v>
      </c>
      <c r="F111" s="191">
        <f t="shared" si="15"/>
        <v>2500000</v>
      </c>
      <c r="G111" s="190">
        <f t="shared" si="16"/>
        <v>785156.25</v>
      </c>
      <c r="H111" s="190">
        <v>0</v>
      </c>
      <c r="I111" s="190">
        <v>0</v>
      </c>
      <c r="J111" s="190">
        <v>0</v>
      </c>
      <c r="K111" s="190">
        <v>0</v>
      </c>
      <c r="L111" s="191">
        <f t="shared" si="6"/>
        <v>3285156.25</v>
      </c>
      <c r="M111" s="190">
        <f t="shared" si="7"/>
        <v>3285156.25</v>
      </c>
      <c r="N111" s="190">
        <f t="shared" si="8"/>
        <v>3285156.25</v>
      </c>
      <c r="O111" s="190">
        <f t="shared" si="9"/>
        <v>3285156.25</v>
      </c>
      <c r="P111" s="190">
        <f t="shared" si="10"/>
        <v>13140625</v>
      </c>
    </row>
    <row r="112" spans="1:16">
      <c r="A112" s="106" t="s">
        <v>2761</v>
      </c>
      <c r="B112" s="8">
        <v>3546875</v>
      </c>
      <c r="C112" s="8">
        <v>3546875</v>
      </c>
      <c r="D112" s="8">
        <v>3546875</v>
      </c>
      <c r="E112" s="8">
        <v>3546875</v>
      </c>
      <c r="F112" s="191">
        <f t="shared" si="15"/>
        <v>2500000</v>
      </c>
      <c r="G112" s="190">
        <f t="shared" si="16"/>
        <v>785156.25</v>
      </c>
      <c r="H112" s="190">
        <v>0</v>
      </c>
      <c r="I112" s="190">
        <v>0</v>
      </c>
      <c r="J112" s="190">
        <v>0</v>
      </c>
      <c r="K112" s="190">
        <v>0</v>
      </c>
      <c r="L112" s="191">
        <f t="shared" si="6"/>
        <v>3285156.25</v>
      </c>
      <c r="M112" s="190">
        <f t="shared" si="7"/>
        <v>3285156.25</v>
      </c>
      <c r="N112" s="190">
        <f t="shared" si="8"/>
        <v>3285156.25</v>
      </c>
      <c r="O112" s="190">
        <f t="shared" si="9"/>
        <v>3285156.25</v>
      </c>
      <c r="P112" s="190">
        <f t="shared" si="10"/>
        <v>13140625</v>
      </c>
    </row>
    <row r="113" spans="1:16">
      <c r="A113" s="106" t="s">
        <v>2762</v>
      </c>
      <c r="B113" s="8">
        <v>3546875</v>
      </c>
      <c r="C113" s="8">
        <v>3546875</v>
      </c>
      <c r="D113" s="8">
        <v>3546875</v>
      </c>
      <c r="E113" s="8">
        <v>3546875</v>
      </c>
      <c r="F113" s="191">
        <f t="shared" si="15"/>
        <v>2500000</v>
      </c>
      <c r="G113" s="190">
        <f t="shared" si="16"/>
        <v>785156.25</v>
      </c>
      <c r="H113" s="190">
        <v>0</v>
      </c>
      <c r="I113" s="190">
        <v>0</v>
      </c>
      <c r="J113" s="190">
        <v>0</v>
      </c>
      <c r="K113" s="190">
        <v>0</v>
      </c>
      <c r="L113" s="191">
        <f t="shared" si="6"/>
        <v>3285156.25</v>
      </c>
      <c r="M113" s="190">
        <f t="shared" si="7"/>
        <v>3285156.25</v>
      </c>
      <c r="N113" s="190">
        <f t="shared" si="8"/>
        <v>3285156.25</v>
      </c>
      <c r="O113" s="190">
        <f t="shared" si="9"/>
        <v>3285156.25</v>
      </c>
      <c r="P113" s="190">
        <f t="shared" si="10"/>
        <v>13140625</v>
      </c>
    </row>
    <row r="114" spans="1:16">
      <c r="A114" s="106" t="s">
        <v>2763</v>
      </c>
      <c r="B114" s="8">
        <v>3546875</v>
      </c>
      <c r="C114" s="8">
        <v>3546875</v>
      </c>
      <c r="D114" s="8">
        <v>3546875</v>
      </c>
      <c r="E114" s="8">
        <v>3546875</v>
      </c>
      <c r="F114" s="191">
        <f t="shared" si="15"/>
        <v>2500000</v>
      </c>
      <c r="G114" s="190">
        <f t="shared" si="16"/>
        <v>785156.25</v>
      </c>
      <c r="H114" s="190">
        <v>0</v>
      </c>
      <c r="I114" s="190">
        <v>0</v>
      </c>
      <c r="J114" s="190">
        <v>0</v>
      </c>
      <c r="K114" s="190">
        <v>0</v>
      </c>
      <c r="L114" s="191">
        <f t="shared" si="6"/>
        <v>3285156.25</v>
      </c>
      <c r="M114" s="190">
        <f t="shared" si="7"/>
        <v>3285156.25</v>
      </c>
      <c r="N114" s="190">
        <f t="shared" si="8"/>
        <v>3285156.25</v>
      </c>
      <c r="O114" s="190">
        <f t="shared" si="9"/>
        <v>3285156.25</v>
      </c>
      <c r="P114" s="190">
        <f t="shared" si="10"/>
        <v>13140625</v>
      </c>
    </row>
    <row r="115" spans="1:16">
      <c r="A115" s="106" t="s">
        <v>2764</v>
      </c>
      <c r="B115" s="8">
        <v>3546875</v>
      </c>
      <c r="C115" s="8">
        <v>3546875</v>
      </c>
      <c r="D115" s="8">
        <v>3546875</v>
      </c>
      <c r="E115" s="8">
        <v>3546875</v>
      </c>
      <c r="F115" s="191">
        <f t="shared" si="15"/>
        <v>2500000</v>
      </c>
      <c r="G115" s="190">
        <f t="shared" si="16"/>
        <v>785156.25</v>
      </c>
      <c r="H115" s="190">
        <v>0</v>
      </c>
      <c r="I115" s="190">
        <v>0</v>
      </c>
      <c r="J115" s="190">
        <v>0</v>
      </c>
      <c r="K115" s="190">
        <v>0</v>
      </c>
      <c r="L115" s="191">
        <f t="shared" si="6"/>
        <v>3285156.25</v>
      </c>
      <c r="M115" s="190">
        <f t="shared" si="7"/>
        <v>3285156.25</v>
      </c>
      <c r="N115" s="190">
        <f t="shared" si="8"/>
        <v>3285156.25</v>
      </c>
      <c r="O115" s="190">
        <f t="shared" si="9"/>
        <v>3285156.25</v>
      </c>
      <c r="P115" s="190">
        <f t="shared" si="10"/>
        <v>13140625</v>
      </c>
    </row>
    <row r="116" spans="1:16">
      <c r="A116" s="106" t="s">
        <v>2765</v>
      </c>
      <c r="B116" s="8">
        <v>3546875</v>
      </c>
      <c r="C116" s="8">
        <v>3546875</v>
      </c>
      <c r="D116" s="8">
        <v>3546875</v>
      </c>
      <c r="E116" s="8">
        <v>3546875</v>
      </c>
      <c r="F116" s="191">
        <f t="shared" si="15"/>
        <v>2500000</v>
      </c>
      <c r="G116" s="190">
        <f t="shared" si="16"/>
        <v>785156.25</v>
      </c>
      <c r="H116" s="190">
        <v>0</v>
      </c>
      <c r="I116" s="190">
        <v>0</v>
      </c>
      <c r="J116" s="190">
        <v>0</v>
      </c>
      <c r="K116" s="190">
        <v>0</v>
      </c>
      <c r="L116" s="191">
        <f t="shared" si="6"/>
        <v>3285156.25</v>
      </c>
      <c r="M116" s="190">
        <f t="shared" si="7"/>
        <v>3285156.25</v>
      </c>
      <c r="N116" s="190">
        <f t="shared" si="8"/>
        <v>3285156.25</v>
      </c>
      <c r="O116" s="190">
        <f t="shared" si="9"/>
        <v>3285156.25</v>
      </c>
      <c r="P116" s="190">
        <f t="shared" si="10"/>
        <v>13140625</v>
      </c>
    </row>
    <row r="117" spans="1:16">
      <c r="A117" s="106" t="s">
        <v>2766</v>
      </c>
      <c r="B117" s="8">
        <v>3546875</v>
      </c>
      <c r="C117" s="8">
        <v>3546875</v>
      </c>
      <c r="D117" s="8">
        <v>3546875</v>
      </c>
      <c r="E117" s="8">
        <v>3546875</v>
      </c>
      <c r="F117" s="191">
        <f t="shared" si="15"/>
        <v>2500000</v>
      </c>
      <c r="G117" s="190">
        <f t="shared" si="16"/>
        <v>785156.25</v>
      </c>
      <c r="H117" s="190">
        <v>0</v>
      </c>
      <c r="I117" s="190">
        <v>0</v>
      </c>
      <c r="J117" s="190">
        <v>0</v>
      </c>
      <c r="K117" s="190">
        <v>0</v>
      </c>
      <c r="L117" s="191">
        <f t="shared" si="6"/>
        <v>3285156.25</v>
      </c>
      <c r="M117" s="190">
        <f t="shared" si="7"/>
        <v>3285156.25</v>
      </c>
      <c r="N117" s="190">
        <f t="shared" si="8"/>
        <v>3285156.25</v>
      </c>
      <c r="O117" s="190">
        <f t="shared" si="9"/>
        <v>3285156.25</v>
      </c>
      <c r="P117" s="190">
        <f t="shared" si="10"/>
        <v>13140625</v>
      </c>
    </row>
    <row r="118" spans="1:16">
      <c r="A118" s="106" t="s">
        <v>2767</v>
      </c>
      <c r="B118" s="8">
        <v>3546875</v>
      </c>
      <c r="C118" s="8">
        <v>3546875</v>
      </c>
      <c r="D118" s="8">
        <v>3546875</v>
      </c>
      <c r="E118" s="8">
        <v>3546875</v>
      </c>
      <c r="F118" s="191">
        <f t="shared" si="15"/>
        <v>2500000</v>
      </c>
      <c r="G118" s="190">
        <f t="shared" si="16"/>
        <v>785156.25</v>
      </c>
      <c r="H118" s="190">
        <v>0</v>
      </c>
      <c r="I118" s="190">
        <v>0</v>
      </c>
      <c r="J118" s="190">
        <v>0</v>
      </c>
      <c r="K118" s="190">
        <v>0</v>
      </c>
      <c r="L118" s="191">
        <f t="shared" si="6"/>
        <v>3285156.25</v>
      </c>
      <c r="M118" s="190">
        <f t="shared" si="7"/>
        <v>3285156.25</v>
      </c>
      <c r="N118" s="190">
        <f t="shared" si="8"/>
        <v>3285156.25</v>
      </c>
      <c r="O118" s="190">
        <f t="shared" si="9"/>
        <v>3285156.25</v>
      </c>
      <c r="P118" s="190">
        <f t="shared" si="10"/>
        <v>13140625</v>
      </c>
    </row>
    <row r="119" spans="1:16">
      <c r="A119" s="106" t="s">
        <v>2768</v>
      </c>
      <c r="B119" s="8">
        <v>3546875</v>
      </c>
      <c r="C119" s="8">
        <v>3546875</v>
      </c>
      <c r="D119" s="8">
        <v>3546875</v>
      </c>
      <c r="E119" s="8">
        <v>3546875</v>
      </c>
      <c r="F119" s="191">
        <f t="shared" si="15"/>
        <v>2500000</v>
      </c>
      <c r="G119" s="190">
        <f t="shared" si="16"/>
        <v>785156.25</v>
      </c>
      <c r="H119" s="190">
        <v>0</v>
      </c>
      <c r="I119" s="190">
        <v>0</v>
      </c>
      <c r="J119" s="190">
        <v>0</v>
      </c>
      <c r="K119" s="190">
        <v>0</v>
      </c>
      <c r="L119" s="191">
        <f t="shared" si="6"/>
        <v>3285156.25</v>
      </c>
      <c r="M119" s="190">
        <f t="shared" si="7"/>
        <v>3285156.25</v>
      </c>
      <c r="N119" s="190">
        <f t="shared" si="8"/>
        <v>3285156.25</v>
      </c>
      <c r="O119" s="190">
        <f t="shared" si="9"/>
        <v>3285156.25</v>
      </c>
      <c r="P119" s="190">
        <f t="shared" si="10"/>
        <v>13140625</v>
      </c>
    </row>
    <row r="120" spans="1:16">
      <c r="A120" s="263" t="s">
        <v>3344</v>
      </c>
      <c r="B120" s="264">
        <f>SUM(B84:B119)</f>
        <v>357475000</v>
      </c>
      <c r="C120" s="264">
        <f>SUM(C84:C119)</f>
        <v>357475000</v>
      </c>
      <c r="D120" s="264">
        <f>SUM(D84:D119)</f>
        <v>357475000</v>
      </c>
      <c r="E120" s="264">
        <f>SUM(E84:E119)</f>
        <v>357475000</v>
      </c>
      <c r="F120" s="265">
        <f t="shared" ref="F120:K120" si="17">SUM(F84:F119)</f>
        <v>90000000</v>
      </c>
      <c r="G120" s="214">
        <f t="shared" si="17"/>
        <v>49706250</v>
      </c>
      <c r="H120" s="214">
        <f t="shared" si="17"/>
        <v>32312500.000000004</v>
      </c>
      <c r="I120" s="214">
        <f t="shared" si="17"/>
        <v>21586500</v>
      </c>
      <c r="J120" s="214">
        <f t="shared" si="17"/>
        <v>15360000</v>
      </c>
      <c r="K120" s="214">
        <f t="shared" si="17"/>
        <v>8492000</v>
      </c>
      <c r="L120" s="265">
        <f t="shared" ref="L120:O120" si="18">SUM(L84:L119)</f>
        <v>217457250</v>
      </c>
      <c r="M120" s="214">
        <f t="shared" si="18"/>
        <v>217457250</v>
      </c>
      <c r="N120" s="214">
        <f t="shared" si="18"/>
        <v>217457250</v>
      </c>
      <c r="O120" s="214">
        <f t="shared" si="18"/>
        <v>217457250</v>
      </c>
      <c r="P120" s="214">
        <f>SUM(P84:P119)</f>
        <v>869829000</v>
      </c>
    </row>
    <row r="121" spans="1:16">
      <c r="A121" s="105" t="s">
        <v>3345</v>
      </c>
      <c r="P121" s="289">
        <f>P120*0.1</f>
        <v>86982900</v>
      </c>
    </row>
    <row r="122" spans="1:16">
      <c r="A122" s="274" t="s">
        <v>3067</v>
      </c>
    </row>
    <row r="123" spans="1:16" ht="49" customHeight="1">
      <c r="A123" s="413" t="s">
        <v>3310</v>
      </c>
      <c r="B123" s="413"/>
      <c r="C123" s="413"/>
      <c r="D123" s="413"/>
      <c r="E123" s="413"/>
      <c r="F123" s="413"/>
      <c r="G123" s="413"/>
      <c r="H123" s="413"/>
    </row>
    <row r="124" spans="1:16">
      <c r="A124" s="105"/>
    </row>
  </sheetData>
  <mergeCells count="8">
    <mergeCell ref="L82:O82"/>
    <mergeCell ref="A123:H123"/>
    <mergeCell ref="A31:H33"/>
    <mergeCell ref="A8:H8"/>
    <mergeCell ref="A28:H28"/>
    <mergeCell ref="A29:H29"/>
    <mergeCell ref="B82:E82"/>
    <mergeCell ref="F82:K82"/>
  </mergeCells>
  <phoneticPr fontId="15" type="noConversion"/>
  <pageMargins left="0.7" right="0.7" top="0.75" bottom="0.75" header="0.3" footer="0.3"/>
  <pageSetup orientation="landscape"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1"/>
  <sheetViews>
    <sheetView showGridLines="0" view="pageLayout" workbookViewId="0">
      <selection activeCell="A4" sqref="A4"/>
    </sheetView>
  </sheetViews>
  <sheetFormatPr baseColWidth="10" defaultRowHeight="15" x14ac:dyDescent="0"/>
  <cols>
    <col min="1" max="1" width="78.83203125" style="130" customWidth="1"/>
  </cols>
  <sheetData>
    <row r="2" spans="1:1">
      <c r="A2" s="300" t="s">
        <v>3083</v>
      </c>
    </row>
    <row r="3" spans="1:1" ht="18">
      <c r="A3" s="149" t="str">
        <f>CONCATENATE(VLOOKUP($A$2,'Table of Contents'!$B:$E,4,FALSE)," ",$A$2)</f>
        <v>4.8 Vectis WiFi</v>
      </c>
    </row>
    <row r="4" spans="1:1">
      <c r="A4" t="str">
        <f>VLOOKUP($A$2,'Table of Contents'!$B:$E,3,FALSE)</f>
        <v>Pool</v>
      </c>
    </row>
    <row r="5" spans="1:1">
      <c r="A5" s="148" t="str">
        <f>VLOOKUP($A$2,'Table of Contents'!$B:$E,2,FALSE)</f>
        <v>Researched</v>
      </c>
    </row>
    <row r="7" spans="1:1">
      <c r="A7" s="82" t="s">
        <v>3031</v>
      </c>
    </row>
    <row r="8" spans="1:1" ht="30">
      <c r="A8" s="130" t="s">
        <v>3115</v>
      </c>
    </row>
    <row r="9" spans="1:1" ht="60">
      <c r="A9" s="130" t="s">
        <v>3116</v>
      </c>
    </row>
    <row r="11" spans="1:1">
      <c r="A11" s="82" t="s">
        <v>3068</v>
      </c>
    </row>
    <row r="12" spans="1:1" ht="30">
      <c r="A12" s="130" t="s">
        <v>3112</v>
      </c>
    </row>
    <row r="14" spans="1:1" ht="30">
      <c r="A14" s="156" t="s">
        <v>3110</v>
      </c>
    </row>
    <row r="15" spans="1:1">
      <c r="A15" s="161" t="s">
        <v>3114</v>
      </c>
    </row>
    <row r="16" spans="1:1">
      <c r="A16" s="162" t="s">
        <v>3058</v>
      </c>
    </row>
    <row r="17" spans="1:1">
      <c r="A17" s="163" t="s">
        <v>3111</v>
      </c>
    </row>
    <row r="19" spans="1:1" ht="30">
      <c r="A19" s="156" t="s">
        <v>3350</v>
      </c>
    </row>
    <row r="21" spans="1:1">
      <c r="A21" s="82" t="s">
        <v>2092</v>
      </c>
    </row>
    <row r="22" spans="1:1">
      <c r="A22" s="130" t="s">
        <v>3113</v>
      </c>
    </row>
    <row r="24" spans="1:1">
      <c r="A24" s="82" t="s">
        <v>3067</v>
      </c>
    </row>
    <row r="25" spans="1:1" ht="60">
      <c r="A25" s="130" t="s">
        <v>3351</v>
      </c>
    </row>
    <row r="27" spans="1:1" ht="30">
      <c r="A27" s="130" t="s">
        <v>3109</v>
      </c>
    </row>
    <row r="31" spans="1:1">
      <c r="A31" s="82"/>
    </row>
  </sheetData>
  <phoneticPr fontId="15" type="noConversion"/>
  <pageMargins left="0.7" right="0.7" top="0.75" bottom="0.75" header="0.3" footer="0.3"/>
  <pageSetup orientation="portrait"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432FF"/>
  </sheetPr>
  <dimension ref="A12:A41"/>
  <sheetViews>
    <sheetView showGridLines="0" view="pageLayout" workbookViewId="0">
      <selection activeCell="K45" sqref="K45"/>
    </sheetView>
  </sheetViews>
  <sheetFormatPr baseColWidth="10" defaultRowHeight="15" x14ac:dyDescent="0"/>
  <cols>
    <col min="1" max="1" width="75.6640625" customWidth="1"/>
  </cols>
  <sheetData>
    <row r="12" spans="1:1" ht="25">
      <c r="A12" s="152" t="s">
        <v>3047</v>
      </c>
    </row>
    <row r="13" spans="1:1" ht="25">
      <c r="A13" s="152" t="s">
        <v>3379</v>
      </c>
    </row>
    <row r="15" spans="1:1">
      <c r="A15" s="383" t="s">
        <v>3084</v>
      </c>
    </row>
    <row r="16" spans="1:1">
      <c r="A16" s="407"/>
    </row>
    <row r="17" spans="1:1">
      <c r="A17" s="407"/>
    </row>
    <row r="18" spans="1:1">
      <c r="A18" s="407"/>
    </row>
    <row r="19" spans="1:1">
      <c r="A19" s="407"/>
    </row>
    <row r="20" spans="1:1">
      <c r="A20" s="407"/>
    </row>
    <row r="21" spans="1:1">
      <c r="A21" s="407"/>
    </row>
    <row r="22" spans="1:1">
      <c r="A22" s="407"/>
    </row>
    <row r="23" spans="1:1">
      <c r="A23" s="407"/>
    </row>
    <row r="24" spans="1:1">
      <c r="A24" s="407"/>
    </row>
    <row r="25" spans="1:1">
      <c r="A25" s="407"/>
    </row>
    <row r="26" spans="1:1">
      <c r="A26" s="407"/>
    </row>
    <row r="27" spans="1:1">
      <c r="A27" s="407"/>
    </row>
    <row r="28" spans="1:1">
      <c r="A28" s="407"/>
    </row>
    <row r="29" spans="1:1">
      <c r="A29" s="407"/>
    </row>
    <row r="30" spans="1:1">
      <c r="A30" s="407"/>
    </row>
    <row r="31" spans="1:1">
      <c r="A31" s="407"/>
    </row>
    <row r="32" spans="1:1">
      <c r="A32" s="407"/>
    </row>
    <row r="33" spans="1:1">
      <c r="A33" s="407"/>
    </row>
    <row r="34" spans="1:1">
      <c r="A34" s="407"/>
    </row>
    <row r="35" spans="1:1">
      <c r="A35" s="407"/>
    </row>
    <row r="36" spans="1:1">
      <c r="A36" s="407"/>
    </row>
    <row r="37" spans="1:1">
      <c r="A37" s="407"/>
    </row>
    <row r="38" spans="1:1">
      <c r="A38" s="407"/>
    </row>
    <row r="39" spans="1:1">
      <c r="A39" s="407"/>
    </row>
    <row r="40" spans="1:1">
      <c r="A40" s="407"/>
    </row>
    <row r="41" spans="1:1">
      <c r="A41" s="407"/>
    </row>
  </sheetData>
  <mergeCells count="1">
    <mergeCell ref="A15:A41"/>
  </mergeCells>
  <phoneticPr fontId="15" type="noConversion"/>
  <pageMargins left="0.7" right="0.7" top="0.75" bottom="0.75" header="0.3" footer="0.3"/>
  <pageSetup orientation="portrait" horizontalDpi="4294967292" verticalDpi="4294967292"/>
  <headerFooter>
    <oddHeader>&amp;LA New Dataset on Mobile Phone _x000D_Patent License Royalties&amp;RSeptember 2016 Update_x000D_</oddHeader>
    <oddFooter>&amp;LAlexander Galetovic, Stephen Haber, _x000D_and Lew Zaretzki</oddFooter>
  </headerFooter>
  <extLst>
    <ext xmlns:mx="http://schemas.microsoft.com/office/mac/excel/2008/main" uri="{64002731-A6B0-56B0-2670-7721B7C09600}">
      <mx:PLV Mode="1" OnePage="0" WScale="100"/>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81"/>
  <sheetViews>
    <sheetView showGridLines="0" view="pageLayout" workbookViewId="0">
      <selection activeCell="A3" sqref="A3"/>
    </sheetView>
  </sheetViews>
  <sheetFormatPr baseColWidth="10" defaultRowHeight="15" x14ac:dyDescent="0"/>
  <cols>
    <col min="1" max="1" width="76.6640625" style="130" customWidth="1"/>
  </cols>
  <sheetData>
    <row r="2" spans="1:1">
      <c r="A2" s="300" t="s">
        <v>3040</v>
      </c>
    </row>
    <row r="3" spans="1:1" ht="18">
      <c r="A3" s="149" t="str">
        <f>CONCATENATE(VLOOKUP($A$2,'Table of Contents'!$B:$E,4,FALSE)," ",$A$2)</f>
        <v>5.1 SISVEL Wireless</v>
      </c>
    </row>
    <row r="4" spans="1:1">
      <c r="A4" t="str">
        <f>VLOOKUP($A$2,'Table of Contents'!$B:$E,3,FALSE)</f>
        <v>Private Corp</v>
      </c>
    </row>
    <row r="5" spans="1:1">
      <c r="A5" s="148" t="str">
        <f>VLOOKUP($A$2,'Table of Contents'!$B:$E,2,FALSE)</f>
        <v>Researched</v>
      </c>
    </row>
    <row r="7" spans="1:1">
      <c r="A7" s="82" t="s">
        <v>3031</v>
      </c>
    </row>
    <row r="8" spans="1:1" ht="45">
      <c r="A8" s="130" t="s">
        <v>3096</v>
      </c>
    </row>
    <row r="10" spans="1:1" ht="60">
      <c r="A10" s="130" t="s">
        <v>3102</v>
      </c>
    </row>
    <row r="12" spans="1:1">
      <c r="A12" s="82" t="s">
        <v>3068</v>
      </c>
    </row>
    <row r="13" spans="1:1" ht="45">
      <c r="A13" s="130" t="s">
        <v>3097</v>
      </c>
    </row>
    <row r="14" spans="1:1">
      <c r="A14" s="130" t="s">
        <v>3356</v>
      </c>
    </row>
    <row r="15" spans="1:1">
      <c r="A15" s="255"/>
    </row>
    <row r="16" spans="1:1">
      <c r="A16" s="136" t="s">
        <v>3107</v>
      </c>
    </row>
    <row r="17" spans="1:1" ht="30">
      <c r="A17" s="130" t="s">
        <v>2876</v>
      </c>
    </row>
    <row r="18" spans="1:1" ht="60">
      <c r="A18" s="130" t="s">
        <v>3105</v>
      </c>
    </row>
    <row r="29" spans="1:1" ht="60">
      <c r="A29" s="130" t="s">
        <v>3106</v>
      </c>
    </row>
    <row r="41" spans="1:1" ht="60">
      <c r="A41" s="130" t="s">
        <v>3108</v>
      </c>
    </row>
    <row r="43" spans="1:1">
      <c r="A43" s="82" t="s">
        <v>2092</v>
      </c>
    </row>
    <row r="44" spans="1:1" ht="30">
      <c r="A44" s="130" t="s">
        <v>3099</v>
      </c>
    </row>
    <row r="45" spans="1:1" ht="75">
      <c r="A45" s="130" t="s">
        <v>3100</v>
      </c>
    </row>
    <row r="46" spans="1:1" ht="75">
      <c r="A46" s="130" t="s">
        <v>3098</v>
      </c>
    </row>
    <row r="47" spans="1:1" ht="30">
      <c r="A47" s="130" t="s">
        <v>2875</v>
      </c>
    </row>
    <row r="48" spans="1:1" ht="45">
      <c r="A48" s="130" t="s">
        <v>3101</v>
      </c>
    </row>
    <row r="50" spans="1:1">
      <c r="A50" s="82" t="s">
        <v>3067</v>
      </c>
    </row>
    <row r="51" spans="1:1" ht="45">
      <c r="A51" s="130" t="s">
        <v>3103</v>
      </c>
    </row>
    <row r="53" spans="1:1" ht="45">
      <c r="A53" s="130" t="s">
        <v>3104</v>
      </c>
    </row>
    <row r="81" spans="1:1">
      <c r="A81" s="82"/>
    </row>
  </sheetData>
  <phoneticPr fontId="15" type="noConversion"/>
  <hyperlinks>
    <hyperlink ref="A16" r:id="rId1"/>
  </hyperlinks>
  <pageMargins left="0.7" right="0.7" top="0.75" bottom="0.75" header="0.3" footer="0.3"/>
  <pageSetup orientation="portrait"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drawing r:id="rId2"/>
  <extLst>
    <ext xmlns:mx="http://schemas.microsoft.com/office/mac/excel/2008/main" uri="{64002731-A6B0-56B0-2670-7721B7C09600}">
      <mx:PLV Mode="1" OnePage="0" WScale="100"/>
    </ext>
  </extLst>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3"/>
  <sheetViews>
    <sheetView showGridLines="0" view="pageLayout" workbookViewId="0">
      <selection activeCell="H28" sqref="H28"/>
    </sheetView>
  </sheetViews>
  <sheetFormatPr baseColWidth="10" defaultRowHeight="15" x14ac:dyDescent="0"/>
  <cols>
    <col min="1" max="1" width="76.83203125" style="130" customWidth="1"/>
  </cols>
  <sheetData>
    <row r="2" spans="1:1">
      <c r="A2" s="300" t="s">
        <v>2877</v>
      </c>
    </row>
    <row r="3" spans="1:1" ht="18">
      <c r="A3" s="149" t="str">
        <f>CONCATENATE(VLOOKUP($A$2,'Table of Contents'!$B:$E,4,FALSE)," ",$A$2)</f>
        <v>5.2 IP Com</v>
      </c>
    </row>
    <row r="4" spans="1:1">
      <c r="A4" t="str">
        <f>VLOOKUP($A$2,'Table of Contents'!$B:$E,3,FALSE)</f>
        <v>Private Corp</v>
      </c>
    </row>
    <row r="5" spans="1:1">
      <c r="A5" s="148" t="str">
        <f>VLOOKUP($A$2,'Table of Contents'!$B:$E,2,FALSE)</f>
        <v>Researched</v>
      </c>
    </row>
    <row r="7" spans="1:1">
      <c r="A7" s="82" t="s">
        <v>3031</v>
      </c>
    </row>
    <row r="8" spans="1:1" ht="30">
      <c r="A8" s="130" t="s">
        <v>3070</v>
      </c>
    </row>
    <row r="10" spans="1:1" ht="30">
      <c r="A10" s="130" t="s">
        <v>3071</v>
      </c>
    </row>
    <row r="12" spans="1:1" ht="60">
      <c r="A12" s="130" t="s">
        <v>3072</v>
      </c>
    </row>
    <row r="14" spans="1:1">
      <c r="A14" s="82" t="s">
        <v>2092</v>
      </c>
    </row>
    <row r="15" spans="1:1" ht="30">
      <c r="A15" s="130" t="s">
        <v>3073</v>
      </c>
    </row>
    <row r="17" spans="1:1" ht="75">
      <c r="A17" s="130" t="s">
        <v>3059</v>
      </c>
    </row>
    <row r="19" spans="1:1" ht="60">
      <c r="A19" s="130" t="s">
        <v>3064</v>
      </c>
    </row>
    <row r="21" spans="1:1">
      <c r="A21" s="82" t="s">
        <v>3068</v>
      </c>
    </row>
    <row r="22" spans="1:1" ht="45">
      <c r="A22" s="136" t="s">
        <v>3062</v>
      </c>
    </row>
    <row r="23" spans="1:1">
      <c r="A23" s="136" t="s">
        <v>3063</v>
      </c>
    </row>
    <row r="25" spans="1:1" ht="30">
      <c r="A25" s="130" t="s">
        <v>3074</v>
      </c>
    </row>
    <row r="27" spans="1:1">
      <c r="A27" s="82" t="s">
        <v>3067</v>
      </c>
    </row>
    <row r="28" spans="1:1">
      <c r="A28" s="130" t="s">
        <v>3060</v>
      </c>
    </row>
    <row r="29" spans="1:1">
      <c r="A29" s="130" t="s">
        <v>3061</v>
      </c>
    </row>
    <row r="31" spans="1:1" ht="60">
      <c r="A31" s="130" t="s">
        <v>3075</v>
      </c>
    </row>
    <row r="33" spans="1:1" ht="30">
      <c r="A33" s="130" t="s">
        <v>3357</v>
      </c>
    </row>
  </sheetData>
  <phoneticPr fontId="15" type="noConversion"/>
  <hyperlinks>
    <hyperlink ref="A22" r:id="rId1"/>
    <hyperlink ref="A23" r:id="rId2"/>
  </hyperlinks>
  <pageMargins left="0.7" right="0.7" top="0.75" bottom="0.75" header="0.3" footer="0.3"/>
  <pageSetup orientation="portrait"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26"/>
  <sheetViews>
    <sheetView showGridLines="0" view="pageLayout" workbookViewId="0">
      <selection activeCell="A3" sqref="A3"/>
    </sheetView>
  </sheetViews>
  <sheetFormatPr baseColWidth="10" defaultRowHeight="15" x14ac:dyDescent="0"/>
  <cols>
    <col min="1" max="1" width="76.6640625" style="130" customWidth="1"/>
  </cols>
  <sheetData>
    <row r="2" spans="1:1">
      <c r="A2" s="300" t="s">
        <v>3137</v>
      </c>
    </row>
    <row r="3" spans="1:1" ht="18">
      <c r="A3" s="149" t="str">
        <f>CONCATENATE(VLOOKUP($A$2,'Table of Contents'!$B:$E,4,FALSE)," ",$A$2)</f>
        <v>5.3 PanOptis-Optis</v>
      </c>
    </row>
    <row r="4" spans="1:1">
      <c r="A4" t="str">
        <f>VLOOKUP($A$2,'Table of Contents'!$B:$E,3,FALSE)</f>
        <v>Private Corp</v>
      </c>
    </row>
    <row r="5" spans="1:1">
      <c r="A5" s="148" t="str">
        <f>VLOOKUP($A$2,'Table of Contents'!$B:$E,2,FALSE)</f>
        <v>Researched</v>
      </c>
    </row>
    <row r="7" spans="1:1">
      <c r="A7" s="82" t="s">
        <v>3031</v>
      </c>
    </row>
    <row r="8" spans="1:1" ht="60">
      <c r="A8" s="130" t="s">
        <v>3076</v>
      </c>
    </row>
    <row r="10" spans="1:1" ht="30">
      <c r="A10" s="130" t="s">
        <v>3078</v>
      </c>
    </row>
    <row r="12" spans="1:1">
      <c r="A12" s="82" t="s">
        <v>3068</v>
      </c>
    </row>
    <row r="13" spans="1:1" ht="30">
      <c r="A13" s="130" t="s">
        <v>3082</v>
      </c>
    </row>
    <row r="15" spans="1:1" ht="30">
      <c r="A15" s="136" t="s">
        <v>3066</v>
      </c>
    </row>
    <row r="17" spans="1:1">
      <c r="A17" s="82" t="s">
        <v>2092</v>
      </c>
    </row>
    <row r="18" spans="1:1" ht="30">
      <c r="A18" s="130" t="s">
        <v>3081</v>
      </c>
    </row>
    <row r="19" spans="1:1" ht="30">
      <c r="A19" s="130" t="s">
        <v>3065</v>
      </c>
    </row>
    <row r="21" spans="1:1" ht="30">
      <c r="A21" s="130" t="s">
        <v>3077</v>
      </c>
    </row>
    <row r="23" spans="1:1">
      <c r="A23" s="82" t="s">
        <v>3067</v>
      </c>
    </row>
    <row r="24" spans="1:1" ht="60">
      <c r="A24" s="130" t="s">
        <v>3079</v>
      </c>
    </row>
    <row r="26" spans="1:1" ht="30">
      <c r="A26" s="130" t="s">
        <v>3080</v>
      </c>
    </row>
  </sheetData>
  <phoneticPr fontId="15" type="noConversion"/>
  <hyperlinks>
    <hyperlink ref="A15" r:id="rId1" location="!search/profile/company?companyId=347378525&amp;targetid=profile" display="Zoominfo states that it has only 1 to 5 million per year in revenue."/>
  </hyperlinks>
  <pageMargins left="0.7" right="0.7" top="0.75" bottom="0.75" header="0.3" footer="0.3"/>
  <pageSetup orientation="portrait"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62"/>
  <sheetViews>
    <sheetView showGridLines="0" view="pageLayout" zoomScale="101" workbookViewId="0">
      <selection activeCell="A25" sqref="A25"/>
    </sheetView>
  </sheetViews>
  <sheetFormatPr baseColWidth="10" defaultRowHeight="15" x14ac:dyDescent="0"/>
  <cols>
    <col min="1" max="1" width="78.83203125" style="130" customWidth="1"/>
    <col min="2" max="2" width="67" customWidth="1"/>
  </cols>
  <sheetData>
    <row r="2" spans="1:1">
      <c r="A2" s="300" t="s">
        <v>2883</v>
      </c>
    </row>
    <row r="3" spans="1:1" ht="18">
      <c r="A3" s="149" t="str">
        <f>CONCATENATE(VLOOKUP($A$2,'Table of Contents'!$B:$E,4,FALSE)," ",$A$2)</f>
        <v>5.4 IP Bridge</v>
      </c>
    </row>
    <row r="4" spans="1:1">
      <c r="A4" t="str">
        <f>VLOOKUP($A$2,'Table of Contents'!$B:$E,3,FALSE)</f>
        <v>Private Corp</v>
      </c>
    </row>
    <row r="5" spans="1:1">
      <c r="A5" s="148" t="str">
        <f>VLOOKUP($A$2,'Table of Contents'!$B:$E,2,FALSE)</f>
        <v>Researched</v>
      </c>
    </row>
    <row r="7" spans="1:1">
      <c r="A7" s="82" t="s">
        <v>3031</v>
      </c>
    </row>
    <row r="8" spans="1:1" ht="60">
      <c r="A8" s="130" t="s">
        <v>3085</v>
      </c>
    </row>
    <row r="9" spans="1:1" ht="30">
      <c r="A9" s="130" t="s">
        <v>3086</v>
      </c>
    </row>
    <row r="10" spans="1:1" ht="30">
      <c r="A10" s="130" t="s">
        <v>3094</v>
      </c>
    </row>
    <row r="12" spans="1:1" ht="62" customHeight="1">
      <c r="A12" s="130" t="s">
        <v>3095</v>
      </c>
    </row>
    <row r="14" spans="1:1">
      <c r="A14" s="82" t="s">
        <v>3068</v>
      </c>
    </row>
    <row r="15" spans="1:1" ht="30">
      <c r="A15" s="130" t="s">
        <v>3089</v>
      </c>
    </row>
    <row r="16" spans="1:1" ht="45">
      <c r="A16" s="130" t="s">
        <v>3090</v>
      </c>
    </row>
    <row r="18" spans="1:1">
      <c r="A18" s="82" t="s">
        <v>2092</v>
      </c>
    </row>
    <row r="19" spans="1:1" ht="60">
      <c r="A19" s="156" t="s">
        <v>3091</v>
      </c>
    </row>
    <row r="20" spans="1:1" ht="75">
      <c r="A20" s="156" t="s">
        <v>3092</v>
      </c>
    </row>
    <row r="21" spans="1:1">
      <c r="A21" s="82"/>
    </row>
    <row r="22" spans="1:1" ht="30">
      <c r="A22" s="156" t="s">
        <v>3093</v>
      </c>
    </row>
    <row r="23" spans="1:1">
      <c r="A23" s="82"/>
    </row>
    <row r="25" spans="1:1">
      <c r="A25" s="82" t="s">
        <v>3067</v>
      </c>
    </row>
    <row r="26" spans="1:1" ht="45">
      <c r="A26" s="130" t="s">
        <v>3087</v>
      </c>
    </row>
    <row r="28" spans="1:1" ht="30">
      <c r="A28" s="130" t="s">
        <v>3088</v>
      </c>
    </row>
    <row r="59" spans="1:1">
      <c r="A59" s="82"/>
    </row>
    <row r="60" spans="1:1">
      <c r="A60" s="82"/>
    </row>
    <row r="61" spans="1:1">
      <c r="A61" s="82"/>
    </row>
    <row r="62" spans="1:1">
      <c r="A62" s="82"/>
    </row>
  </sheetData>
  <sortState ref="A14:I30">
    <sortCondition ref="A14:A30"/>
  </sortState>
  <phoneticPr fontId="15" type="noConversion"/>
  <pageMargins left="0.7" right="0.7" top="0.75" bottom="0.75" header="0.3" footer="0.3"/>
  <pageSetup orientation="portrait" horizontalDpi="4294967292" verticalDpi="4294967292"/>
  <headerFooter>
    <oddHeader>&amp;LA New Dataset on Mobile Phone _x000D_Patent License Royalties&amp;C&amp;"-,Bold"&amp;A&amp;RSeptember 2016 Update</oddHeader>
    <oddFooter>&amp;LAlexander Galetovic, _x000D_Stephen Haber, and Lew Zaretzki&amp;C&amp;P of &amp;N</oddFooter>
  </headerFooter>
  <extLst>
    <ext xmlns:mx="http://schemas.microsoft.com/office/mac/excel/2008/main" uri="{64002731-A6B0-56B0-2670-7721B7C09600}">
      <mx:PLV Mode="1" OnePage="0" WScale="100"/>
    </ext>
  </extLst>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105"/>
  <sheetViews>
    <sheetView showGridLines="0" view="pageLayout" workbookViewId="0">
      <selection activeCell="B15" sqref="B15"/>
    </sheetView>
  </sheetViews>
  <sheetFormatPr baseColWidth="10" defaultRowHeight="15" x14ac:dyDescent="0"/>
  <cols>
    <col min="1" max="1" width="85.1640625" style="130" customWidth="1"/>
  </cols>
  <sheetData>
    <row r="2" spans="1:1">
      <c r="A2" s="300" t="s">
        <v>2923</v>
      </c>
    </row>
    <row r="3" spans="1:1" ht="18">
      <c r="A3" s="149" t="str">
        <f>CONCATENATE(VLOOKUP($A$2,'Table of Contents'!$B:$E,4,FALSE)," ",$A$2)</f>
        <v>5.5 Intellectual Ventures</v>
      </c>
    </row>
    <row r="4" spans="1:1">
      <c r="A4" t="str">
        <f>VLOOKUP($A$2,'Table of Contents'!$B:$E,3,FALSE)</f>
        <v>Private Corp</v>
      </c>
    </row>
    <row r="5" spans="1:1">
      <c r="A5" s="148" t="str">
        <f>VLOOKUP($A$2,'Table of Contents'!$B:$E,2,FALSE)</f>
        <v>Researched</v>
      </c>
    </row>
    <row r="6" spans="1:1">
      <c r="A6" s="82"/>
    </row>
    <row r="7" spans="1:1">
      <c r="A7" s="82" t="s">
        <v>3031</v>
      </c>
    </row>
    <row r="8" spans="1:1" ht="30">
      <c r="A8" s="136" t="s">
        <v>3261</v>
      </c>
    </row>
    <row r="9" spans="1:1">
      <c r="A9" s="82"/>
    </row>
    <row r="10" spans="1:1">
      <c r="A10" s="82" t="s">
        <v>3068</v>
      </c>
    </row>
    <row r="11" spans="1:1" ht="30">
      <c r="A11" s="136" t="s">
        <v>3260</v>
      </c>
    </row>
    <row r="12" spans="1:1">
      <c r="A12" s="415" t="s">
        <v>3358</v>
      </c>
    </row>
    <row r="13" spans="1:1">
      <c r="A13" s="378"/>
    </row>
    <row r="14" spans="1:1">
      <c r="A14" s="378"/>
    </row>
    <row r="15" spans="1:1">
      <c r="A15" s="378"/>
    </row>
    <row r="16" spans="1:1">
      <c r="A16" s="378"/>
    </row>
    <row r="17" spans="1:1">
      <c r="A17" s="378"/>
    </row>
    <row r="18" spans="1:1">
      <c r="A18" s="378"/>
    </row>
    <row r="19" spans="1:1">
      <c r="A19" s="415" t="s">
        <v>3359</v>
      </c>
    </row>
    <row r="20" spans="1:1">
      <c r="A20" s="378"/>
    </row>
    <row r="21" spans="1:1">
      <c r="A21" s="378"/>
    </row>
    <row r="22" spans="1:1">
      <c r="A22" s="378"/>
    </row>
    <row r="23" spans="1:1">
      <c r="A23" s="378"/>
    </row>
    <row r="24" spans="1:1">
      <c r="A24" s="378"/>
    </row>
    <row r="25" spans="1:1">
      <c r="A25" s="378"/>
    </row>
    <row r="26" spans="1:1">
      <c r="A26" s="255"/>
    </row>
    <row r="27" spans="1:1" ht="45">
      <c r="A27" s="156" t="s">
        <v>3360</v>
      </c>
    </row>
    <row r="28" spans="1:1" ht="30">
      <c r="A28" s="130" t="s">
        <v>3257</v>
      </c>
    </row>
    <row r="29" spans="1:1">
      <c r="A29" s="255"/>
    </row>
    <row r="30" spans="1:1" ht="75">
      <c r="A30" s="255" t="s">
        <v>3361</v>
      </c>
    </row>
    <row r="31" spans="1:1">
      <c r="A31" s="255"/>
    </row>
    <row r="32" spans="1:1" ht="30">
      <c r="A32" s="255" t="s">
        <v>3362</v>
      </c>
    </row>
    <row r="33" spans="1:1">
      <c r="A33" s="255"/>
    </row>
    <row r="34" spans="1:1" ht="30">
      <c r="A34" s="255" t="s">
        <v>3363</v>
      </c>
    </row>
    <row r="35" spans="1:1">
      <c r="A35" s="255"/>
    </row>
    <row r="36" spans="1:1" ht="30">
      <c r="A36" s="255" t="s">
        <v>3364</v>
      </c>
    </row>
    <row r="37" spans="1:1">
      <c r="A37" s="255"/>
    </row>
    <row r="39" spans="1:1">
      <c r="A39" s="82" t="s">
        <v>3067</v>
      </c>
    </row>
    <row r="40" spans="1:1" ht="45">
      <c r="A40" s="216" t="s">
        <v>3263</v>
      </c>
    </row>
    <row r="41" spans="1:1">
      <c r="A41" s="216"/>
    </row>
    <row r="42" spans="1:1">
      <c r="A42" s="82" t="s">
        <v>2092</v>
      </c>
    </row>
    <row r="43" spans="1:1" ht="30">
      <c r="A43" s="136" t="s">
        <v>3258</v>
      </c>
    </row>
    <row r="44" spans="1:1" ht="90">
      <c r="A44" s="130" t="s">
        <v>3259</v>
      </c>
    </row>
    <row r="46" spans="1:1">
      <c r="A46" s="130" t="s">
        <v>2943</v>
      </c>
    </row>
    <row r="47" spans="1:1">
      <c r="A47" s="171" t="s">
        <v>3262</v>
      </c>
    </row>
    <row r="48" spans="1:1">
      <c r="A48" s="171" t="s">
        <v>2944</v>
      </c>
    </row>
    <row r="49" spans="1:1">
      <c r="A49" s="171" t="s">
        <v>2945</v>
      </c>
    </row>
    <row r="50" spans="1:1">
      <c r="A50" s="171" t="s">
        <v>2946</v>
      </c>
    </row>
    <row r="51" spans="1:1">
      <c r="A51" s="171" t="s">
        <v>2947</v>
      </c>
    </row>
    <row r="52" spans="1:1">
      <c r="A52" s="171" t="s">
        <v>2948</v>
      </c>
    </row>
    <row r="53" spans="1:1">
      <c r="A53" s="171" t="s">
        <v>2949</v>
      </c>
    </row>
    <row r="85" spans="1:1">
      <c r="A85" s="216"/>
    </row>
    <row r="86" spans="1:1">
      <c r="A86" s="216"/>
    </row>
    <row r="87" spans="1:1">
      <c r="A87" s="216"/>
    </row>
    <row r="88" spans="1:1">
      <c r="A88" s="216"/>
    </row>
    <row r="89" spans="1:1">
      <c r="A89" s="216"/>
    </row>
    <row r="90" spans="1:1">
      <c r="A90" s="216"/>
    </row>
    <row r="91" spans="1:1">
      <c r="A91" s="216"/>
    </row>
    <row r="93" spans="1:1">
      <c r="A93" s="216"/>
    </row>
    <row r="94" spans="1:1">
      <c r="A94" s="216"/>
    </row>
    <row r="95" spans="1:1">
      <c r="A95" s="216"/>
    </row>
    <row r="96" spans="1:1">
      <c r="A96" s="216"/>
    </row>
    <row r="97" spans="1:1">
      <c r="A97" s="216"/>
    </row>
    <row r="105" spans="1:1">
      <c r="A105" s="133"/>
    </row>
  </sheetData>
  <mergeCells count="2">
    <mergeCell ref="A12:A18"/>
    <mergeCell ref="A19:A25"/>
  </mergeCells>
  <phoneticPr fontId="15" type="noConversion"/>
  <hyperlinks>
    <hyperlink ref="A8" r:id="rId1" display="&quot;Intellectual Ventures (IV) is a privately-held invention capital company with one of the world’s largest and fastest growing invention portfolios… To date, we have raised more than $6 billion in investor capital with cumulative licensing revenues exceedi"/>
    <hyperlink ref="A43" r:id="rId2"/>
    <hyperlink ref="A11" r:id="rId3" display="&quot;Intellectual Ventures (IV) is a privately-held invention capital company with one of the world’s largest and fastest growing invention portfolios… To date, we have raised more than $6 billion in investor capital with cumulative licensing revenues exceedi"/>
  </hyperlinks>
  <pageMargins left="0.7" right="0.7" top="0.75" bottom="0.75" header="0.3" footer="0.3"/>
  <pageSetup orientation="portrait" horizontalDpi="4294967292" verticalDpi="4294967292"/>
  <headerFooter>
    <oddHeader>&amp;LA New Dataset on Mobile Phone _x000D_Patent License Royalties&amp;C&amp;"-,Bold"&amp;A&amp;RSeptember 2016 Update</oddHeader>
    <oddFooter>&amp;LAlexander Galetovic, _x000D_Stephen Haber, and Lew Zaretzki&amp;C&amp;P of &amp;N</oddFooter>
  </headerFooter>
  <extLst>
    <ext xmlns:mx="http://schemas.microsoft.com/office/mac/excel/2008/main" uri="{64002731-A6B0-56B0-2670-7721B7C09600}">
      <mx:PLV Mode="1" OnePage="0" WScale="100"/>
    </ext>
  </extLst>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44"/>
  <sheetViews>
    <sheetView showGridLines="0" view="pageLayout" workbookViewId="0">
      <selection activeCell="A3" sqref="A3"/>
    </sheetView>
  </sheetViews>
  <sheetFormatPr baseColWidth="10" defaultRowHeight="15" x14ac:dyDescent="0"/>
  <cols>
    <col min="1" max="1" width="77.33203125" style="130" customWidth="1"/>
  </cols>
  <sheetData>
    <row r="2" spans="1:2">
      <c r="A2" s="300" t="s">
        <v>97</v>
      </c>
    </row>
    <row r="3" spans="1:2" ht="18">
      <c r="A3" s="147" t="str">
        <f>CONCATENATE(VLOOKUP($A$2,'Table of Contents'!$B:$E,4,FALSE)," ",$A$2)</f>
        <v>5.6 Huawei</v>
      </c>
    </row>
    <row r="4" spans="1:2">
      <c r="A4" t="str">
        <f>VLOOKUP($A$2,'Table of Contents'!$B:$E,3,FALSE)</f>
        <v>Private Corp</v>
      </c>
    </row>
    <row r="5" spans="1:2">
      <c r="A5" s="148" t="str">
        <f>VLOOKUP($A$2,'Table of Contents'!$B:$E,2,FALSE)</f>
        <v>Approximated</v>
      </c>
    </row>
    <row r="6" spans="1:2">
      <c r="A6" s="135"/>
    </row>
    <row r="7" spans="1:2">
      <c r="A7" s="202" t="s">
        <v>3031</v>
      </c>
    </row>
    <row r="8" spans="1:2" ht="75">
      <c r="A8" s="135" t="s">
        <v>3214</v>
      </c>
      <c r="B8" s="202"/>
    </row>
    <row r="9" spans="1:2">
      <c r="A9" s="135"/>
      <c r="B9" s="16"/>
    </row>
    <row r="10" spans="1:2">
      <c r="A10" s="203" t="s">
        <v>3068</v>
      </c>
    </row>
    <row r="11" spans="1:2" ht="75">
      <c r="A11" s="135" t="s">
        <v>3215</v>
      </c>
    </row>
    <row r="13" spans="1:2" ht="30">
      <c r="A13" s="135" t="s">
        <v>3216</v>
      </c>
    </row>
    <row r="14" spans="1:2">
      <c r="A14" s="203"/>
    </row>
    <row r="15" spans="1:2" ht="75">
      <c r="A15" s="130" t="s">
        <v>3217</v>
      </c>
    </row>
    <row r="17" spans="1:2">
      <c r="A17" s="202" t="s">
        <v>2092</v>
      </c>
      <c r="B17" s="16"/>
    </row>
    <row r="18" spans="1:2">
      <c r="A18" s="136" t="s">
        <v>3218</v>
      </c>
    </row>
    <row r="19" spans="1:2" ht="90">
      <c r="A19" s="130" t="s">
        <v>3219</v>
      </c>
    </row>
    <row r="21" spans="1:2">
      <c r="A21" s="209"/>
    </row>
    <row r="22" spans="1:2">
      <c r="A22" s="130" t="s">
        <v>2769</v>
      </c>
    </row>
    <row r="23" spans="1:2" ht="30">
      <c r="A23" s="130" t="s">
        <v>2770</v>
      </c>
    </row>
    <row r="24" spans="1:2" ht="30">
      <c r="A24" s="130" t="s">
        <v>2771</v>
      </c>
    </row>
    <row r="25" spans="1:2">
      <c r="A25" s="170"/>
    </row>
    <row r="27" spans="1:2">
      <c r="A27" s="202" t="s">
        <v>3067</v>
      </c>
    </row>
    <row r="28" spans="1:2" ht="45">
      <c r="A28" s="130" t="s">
        <v>3348</v>
      </c>
    </row>
    <row r="34" spans="1:1">
      <c r="A34" s="170"/>
    </row>
    <row r="35" spans="1:1">
      <c r="A35" s="170"/>
    </row>
    <row r="39" spans="1:1">
      <c r="A39" s="170"/>
    </row>
    <row r="40" spans="1:1">
      <c r="A40" s="170"/>
    </row>
    <row r="41" spans="1:1">
      <c r="A41" s="170"/>
    </row>
    <row r="43" spans="1:1">
      <c r="A43" s="170"/>
    </row>
    <row r="44" spans="1:1">
      <c r="A44" s="170"/>
    </row>
  </sheetData>
  <phoneticPr fontId="15" type="noConversion"/>
  <hyperlinks>
    <hyperlink ref="A18" r:id="rId1" display="This information is consistent with a a May 10 2016 artice in IAM, which stated that:"/>
  </hyperlinks>
  <pageMargins left="0.7" right="0.7" top="0.75" bottom="0.75" header="0.3" footer="0.3"/>
  <pageSetup orientation="portrait"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15"/>
  <sheetViews>
    <sheetView showGridLines="0" tabSelected="1" view="pageLayout" workbookViewId="0">
      <selection activeCell="A11" sqref="A11"/>
    </sheetView>
  </sheetViews>
  <sheetFormatPr baseColWidth="10" defaultRowHeight="15" x14ac:dyDescent="0"/>
  <cols>
    <col min="1" max="1" width="76.6640625" style="130" customWidth="1"/>
  </cols>
  <sheetData>
    <row r="2" spans="1:1">
      <c r="A2" s="300" t="s">
        <v>3029</v>
      </c>
    </row>
    <row r="3" spans="1:1" ht="18">
      <c r="A3" s="149" t="str">
        <f>CONCATENATE(VLOOKUP($A$2,'Table of Contents'!$B:$E,4,FALSE)," ",$A$2)</f>
        <v>1.1 Introduction</v>
      </c>
    </row>
    <row r="4" spans="1:1" ht="30">
      <c r="A4" s="130" t="s">
        <v>3335</v>
      </c>
    </row>
    <row r="5" spans="1:1" ht="45">
      <c r="A5" s="130" t="s">
        <v>3336</v>
      </c>
    </row>
    <row r="7" spans="1:1" ht="30">
      <c r="A7" s="144" t="s">
        <v>3572</v>
      </c>
    </row>
    <row r="8" spans="1:1" ht="30">
      <c r="A8" s="280" t="s">
        <v>3528</v>
      </c>
    </row>
    <row r="9" spans="1:1" s="362" customFormat="1">
      <c r="A9" s="280"/>
    </row>
    <row r="10" spans="1:1">
      <c r="A10" s="159" t="s">
        <v>3529</v>
      </c>
    </row>
    <row r="11" spans="1:1" ht="90">
      <c r="A11" s="350" t="s">
        <v>3530</v>
      </c>
    </row>
    <row r="12" spans="1:1" ht="105">
      <c r="A12" s="144" t="s">
        <v>3531</v>
      </c>
    </row>
    <row r="13" spans="1:1">
      <c r="A13" s="144"/>
    </row>
    <row r="14" spans="1:1" ht="150">
      <c r="A14" s="360" t="s">
        <v>3534</v>
      </c>
    </row>
    <row r="15" spans="1:1">
      <c r="A15" s="360"/>
    </row>
    <row r="16" spans="1:1" ht="75">
      <c r="A16" s="365" t="s">
        <v>3532</v>
      </c>
    </row>
    <row r="17" spans="1:1">
      <c r="A17" s="144"/>
    </row>
    <row r="18" spans="1:1">
      <c r="A18" s="159" t="s">
        <v>3533</v>
      </c>
    </row>
    <row r="19" spans="1:1" ht="135">
      <c r="A19" s="144" t="s">
        <v>3535</v>
      </c>
    </row>
    <row r="20" spans="1:1">
      <c r="A20" s="144"/>
    </row>
    <row r="21" spans="1:1" ht="120">
      <c r="A21" s="144" t="s">
        <v>3536</v>
      </c>
    </row>
    <row r="22" spans="1:1">
      <c r="A22" s="144"/>
    </row>
    <row r="23" spans="1:1" ht="45">
      <c r="A23" s="144" t="s">
        <v>3537</v>
      </c>
    </row>
    <row r="24" spans="1:1">
      <c r="A24" s="144"/>
    </row>
    <row r="25" spans="1:1" ht="135">
      <c r="A25" s="130" t="s">
        <v>3538</v>
      </c>
    </row>
    <row r="26" spans="1:1">
      <c r="A26" s="134"/>
    </row>
    <row r="27" spans="1:1">
      <c r="A27" s="134"/>
    </row>
    <row r="29" spans="1:1" ht="120">
      <c r="A29" s="365" t="s">
        <v>3539</v>
      </c>
    </row>
    <row r="30" spans="1:1">
      <c r="A30" s="144"/>
    </row>
    <row r="31" spans="1:1">
      <c r="A31" s="366" t="s">
        <v>3540</v>
      </c>
    </row>
    <row r="32" spans="1:1" ht="120">
      <c r="A32" s="144" t="s">
        <v>3541</v>
      </c>
    </row>
    <row r="33" spans="1:1">
      <c r="A33" s="144"/>
    </row>
    <row r="34" spans="1:1" ht="60">
      <c r="A34" s="350" t="s">
        <v>3542</v>
      </c>
    </row>
    <row r="35" spans="1:1" s="364" customFormat="1">
      <c r="A35" s="350"/>
    </row>
    <row r="36" spans="1:1">
      <c r="A36" s="367" t="s">
        <v>3543</v>
      </c>
    </row>
    <row r="37" spans="1:1" ht="258" customHeight="1">
      <c r="A37" s="350" t="s">
        <v>3544</v>
      </c>
    </row>
    <row r="38" spans="1:1" ht="248" customHeight="1">
      <c r="A38" s="371" t="s">
        <v>3570</v>
      </c>
    </row>
    <row r="39" spans="1:1">
      <c r="A39" s="144"/>
    </row>
    <row r="40" spans="1:1" ht="135">
      <c r="A40" s="134" t="s">
        <v>3545</v>
      </c>
    </row>
    <row r="41" spans="1:1">
      <c r="A41"/>
    </row>
    <row r="42" spans="1:1">
      <c r="A42" s="145" t="s">
        <v>3546</v>
      </c>
    </row>
    <row r="43" spans="1:1" s="341" customFormat="1" ht="195">
      <c r="A43" s="134" t="s">
        <v>3547</v>
      </c>
    </row>
    <row r="44" spans="1:1">
      <c r="A44"/>
    </row>
    <row r="46" spans="1:1" s="370" customFormat="1">
      <c r="A46" s="369"/>
    </row>
    <row r="47" spans="1:1">
      <c r="A47" s="44" t="s">
        <v>3548</v>
      </c>
    </row>
    <row r="48" spans="1:1" ht="45">
      <c r="A48" s="350" t="s">
        <v>3549</v>
      </c>
    </row>
    <row r="49" spans="1:1">
      <c r="A49" s="350"/>
    </row>
    <row r="50" spans="1:1" ht="90">
      <c r="A50" s="350" t="s">
        <v>3550</v>
      </c>
    </row>
    <row r="51" spans="1:1" ht="120">
      <c r="A51" s="350" t="s">
        <v>3551</v>
      </c>
    </row>
    <row r="52" spans="1:1">
      <c r="A52"/>
    </row>
    <row r="53" spans="1:1" ht="75">
      <c r="A53" s="368" t="s">
        <v>3552</v>
      </c>
    </row>
    <row r="54" spans="1:1">
      <c r="A54"/>
    </row>
    <row r="55" spans="1:1" ht="135">
      <c r="A55" s="368" t="s">
        <v>3553</v>
      </c>
    </row>
    <row r="56" spans="1:1">
      <c r="A56"/>
    </row>
    <row r="57" spans="1:1" ht="212" customHeight="1">
      <c r="A57" s="359" t="s">
        <v>3569</v>
      </c>
    </row>
    <row r="58" spans="1:1">
      <c r="A58"/>
    </row>
    <row r="59" spans="1:1">
      <c r="A59" s="44" t="s">
        <v>3554</v>
      </c>
    </row>
    <row r="60" spans="1:1" ht="90">
      <c r="A60" s="361" t="s">
        <v>3555</v>
      </c>
    </row>
    <row r="61" spans="1:1" ht="90">
      <c r="A61" s="361" t="s">
        <v>3556</v>
      </c>
    </row>
    <row r="62" spans="1:1">
      <c r="A62"/>
    </row>
    <row r="63" spans="1:1" ht="105">
      <c r="A63" s="361" t="s">
        <v>3557</v>
      </c>
    </row>
    <row r="64" spans="1:1" s="364" customFormat="1">
      <c r="A64" s="363"/>
    </row>
    <row r="65" spans="1:1" s="364" customFormat="1">
      <c r="A65" s="363"/>
    </row>
    <row r="66" spans="1:1">
      <c r="A66"/>
    </row>
    <row r="67" spans="1:1" s="364" customFormat="1"/>
    <row r="68" spans="1:1" s="364" customFormat="1"/>
    <row r="69" spans="1:1" s="364" customFormat="1"/>
    <row r="70" spans="1:1" s="364" customFormat="1"/>
    <row r="71" spans="1:1" s="364" customFormat="1"/>
    <row r="72" spans="1:1" ht="105">
      <c r="A72" s="361" t="s">
        <v>3558</v>
      </c>
    </row>
    <row r="73" spans="1:1" s="347" customFormat="1">
      <c r="A73" s="361"/>
    </row>
    <row r="74" spans="1:1">
      <c r="A74" s="44" t="s">
        <v>3559</v>
      </c>
    </row>
    <row r="75" spans="1:1" ht="120">
      <c r="A75" s="361" t="s">
        <v>3560</v>
      </c>
    </row>
    <row r="76" spans="1:1">
      <c r="A76"/>
    </row>
    <row r="77" spans="1:1" ht="135">
      <c r="A77" s="361" t="s">
        <v>3561</v>
      </c>
    </row>
    <row r="78" spans="1:1">
      <c r="A78"/>
    </row>
    <row r="79" spans="1:1" ht="135">
      <c r="A79" s="361" t="s">
        <v>3562</v>
      </c>
    </row>
    <row r="80" spans="1:1">
      <c r="A80"/>
    </row>
    <row r="81" spans="1:1" ht="60">
      <c r="A81" s="361" t="s">
        <v>3563</v>
      </c>
    </row>
    <row r="82" spans="1:1">
      <c r="A82" s="361"/>
    </row>
    <row r="83" spans="1:1">
      <c r="A83" s="44" t="s">
        <v>3564</v>
      </c>
    </row>
    <row r="84" spans="1:1" ht="195">
      <c r="A84" s="361" t="s">
        <v>3565</v>
      </c>
    </row>
    <row r="85" spans="1:1">
      <c r="A85"/>
    </row>
    <row r="86" spans="1:1">
      <c r="A86"/>
    </row>
    <row r="87" spans="1:1">
      <c r="A87"/>
    </row>
    <row r="88" spans="1:1">
      <c r="A88"/>
    </row>
    <row r="89" spans="1:1">
      <c r="A89"/>
    </row>
    <row r="90" spans="1:1">
      <c r="A90"/>
    </row>
    <row r="91" spans="1:1">
      <c r="A91"/>
    </row>
    <row r="92" spans="1:1">
      <c r="A92"/>
    </row>
    <row r="93" spans="1:1">
      <c r="A93"/>
    </row>
    <row r="94" spans="1:1">
      <c r="A94"/>
    </row>
    <row r="95" spans="1:1">
      <c r="A95"/>
    </row>
    <row r="96" spans="1:1">
      <c r="A96"/>
    </row>
    <row r="97" spans="1:1">
      <c r="A97"/>
    </row>
    <row r="98" spans="1:1">
      <c r="A98"/>
    </row>
    <row r="99" spans="1:1">
      <c r="A99"/>
    </row>
    <row r="100" spans="1:1">
      <c r="A100"/>
    </row>
    <row r="101" spans="1:1">
      <c r="A101"/>
    </row>
    <row r="102" spans="1:1">
      <c r="A102"/>
    </row>
    <row r="103" spans="1:1">
      <c r="A103"/>
    </row>
    <row r="104" spans="1:1">
      <c r="A104"/>
    </row>
    <row r="105" spans="1:1">
      <c r="A105"/>
    </row>
    <row r="106" spans="1:1">
      <c r="A106"/>
    </row>
    <row r="107" spans="1:1">
      <c r="A107"/>
    </row>
    <row r="108" spans="1:1">
      <c r="A108"/>
    </row>
    <row r="109" spans="1:1">
      <c r="A109"/>
    </row>
    <row r="110" spans="1:1">
      <c r="A110"/>
    </row>
    <row r="111" spans="1:1">
      <c r="A111"/>
    </row>
    <row r="112" spans="1:1">
      <c r="A112"/>
    </row>
    <row r="113" spans="1:1">
      <c r="A113"/>
    </row>
    <row r="114" spans="1:1">
      <c r="A114"/>
    </row>
    <row r="115" spans="1:1">
      <c r="A115"/>
    </row>
    <row r="116" spans="1:1">
      <c r="A116"/>
    </row>
    <row r="117" spans="1:1">
      <c r="A117"/>
    </row>
    <row r="118" spans="1:1">
      <c r="A118"/>
    </row>
    <row r="119" spans="1:1">
      <c r="A119"/>
    </row>
    <row r="120" spans="1:1">
      <c r="A120"/>
    </row>
    <row r="121" spans="1:1">
      <c r="A121"/>
    </row>
    <row r="122" spans="1:1">
      <c r="A122"/>
    </row>
    <row r="123" spans="1:1">
      <c r="A123"/>
    </row>
    <row r="124" spans="1:1">
      <c r="A124"/>
    </row>
    <row r="125" spans="1:1">
      <c r="A125"/>
    </row>
    <row r="126" spans="1:1">
      <c r="A126"/>
    </row>
    <row r="127" spans="1:1">
      <c r="A127"/>
    </row>
    <row r="128" spans="1:1">
      <c r="A128"/>
    </row>
    <row r="129" spans="1:1">
      <c r="A129"/>
    </row>
    <row r="130" spans="1:1">
      <c r="A130"/>
    </row>
    <row r="131" spans="1:1">
      <c r="A131"/>
    </row>
    <row r="132" spans="1:1">
      <c r="A132"/>
    </row>
    <row r="133" spans="1:1">
      <c r="A133"/>
    </row>
    <row r="134" spans="1:1">
      <c r="A134"/>
    </row>
    <row r="135" spans="1:1">
      <c r="A135"/>
    </row>
    <row r="136" spans="1:1">
      <c r="A136"/>
    </row>
    <row r="137" spans="1:1">
      <c r="A137"/>
    </row>
    <row r="138" spans="1:1">
      <c r="A138"/>
    </row>
    <row r="139" spans="1:1">
      <c r="A139"/>
    </row>
    <row r="140" spans="1:1">
      <c r="A140"/>
    </row>
    <row r="141" spans="1:1">
      <c r="A141"/>
    </row>
    <row r="142" spans="1:1">
      <c r="A142"/>
    </row>
    <row r="143" spans="1:1">
      <c r="A143"/>
    </row>
    <row r="144" spans="1:1">
      <c r="A144"/>
    </row>
    <row r="145" spans="1:1">
      <c r="A145"/>
    </row>
    <row r="146" spans="1:1">
      <c r="A146"/>
    </row>
    <row r="147" spans="1:1">
      <c r="A147"/>
    </row>
    <row r="148" spans="1:1">
      <c r="A148"/>
    </row>
    <row r="149" spans="1:1">
      <c r="A149"/>
    </row>
    <row r="150" spans="1:1">
      <c r="A150"/>
    </row>
    <row r="151" spans="1:1">
      <c r="A151"/>
    </row>
    <row r="152" spans="1:1">
      <c r="A152"/>
    </row>
    <row r="153" spans="1:1">
      <c r="A153"/>
    </row>
    <row r="154" spans="1:1">
      <c r="A154"/>
    </row>
    <row r="155" spans="1:1">
      <c r="A155"/>
    </row>
    <row r="156" spans="1:1">
      <c r="A156"/>
    </row>
    <row r="157" spans="1:1">
      <c r="A157"/>
    </row>
    <row r="158" spans="1:1">
      <c r="A158"/>
    </row>
    <row r="159" spans="1:1">
      <c r="A159"/>
    </row>
    <row r="160" spans="1:1">
      <c r="A160"/>
    </row>
    <row r="161" spans="1:1">
      <c r="A161"/>
    </row>
    <row r="162" spans="1:1">
      <c r="A162"/>
    </row>
    <row r="163" spans="1:1">
      <c r="A163"/>
    </row>
    <row r="164" spans="1:1">
      <c r="A164"/>
    </row>
    <row r="165" spans="1:1">
      <c r="A165"/>
    </row>
    <row r="166" spans="1:1">
      <c r="A166"/>
    </row>
    <row r="167" spans="1:1">
      <c r="A167"/>
    </row>
    <row r="168" spans="1:1">
      <c r="A168"/>
    </row>
    <row r="169" spans="1:1">
      <c r="A169"/>
    </row>
    <row r="170" spans="1:1">
      <c r="A170"/>
    </row>
    <row r="171" spans="1:1">
      <c r="A171"/>
    </row>
    <row r="172" spans="1:1">
      <c r="A172"/>
    </row>
    <row r="173" spans="1:1">
      <c r="A173"/>
    </row>
    <row r="174" spans="1:1">
      <c r="A174"/>
    </row>
    <row r="175" spans="1:1">
      <c r="A175"/>
    </row>
    <row r="176" spans="1:1">
      <c r="A176"/>
    </row>
    <row r="177" spans="1:1">
      <c r="A177"/>
    </row>
    <row r="178" spans="1:1">
      <c r="A178"/>
    </row>
    <row r="179" spans="1:1">
      <c r="A179"/>
    </row>
    <row r="180" spans="1:1">
      <c r="A180"/>
    </row>
    <row r="181" spans="1:1">
      <c r="A181"/>
    </row>
    <row r="182" spans="1:1">
      <c r="A182"/>
    </row>
    <row r="183" spans="1:1">
      <c r="A183"/>
    </row>
    <row r="184" spans="1:1">
      <c r="A184"/>
    </row>
    <row r="185" spans="1:1">
      <c r="A185"/>
    </row>
    <row r="186" spans="1:1">
      <c r="A186"/>
    </row>
    <row r="187" spans="1:1">
      <c r="A187"/>
    </row>
    <row r="188" spans="1:1">
      <c r="A188"/>
    </row>
    <row r="189" spans="1:1">
      <c r="A189"/>
    </row>
    <row r="190" spans="1:1">
      <c r="A190"/>
    </row>
    <row r="191" spans="1:1">
      <c r="A191"/>
    </row>
    <row r="192" spans="1:1">
      <c r="A192"/>
    </row>
    <row r="193" spans="1:1">
      <c r="A193"/>
    </row>
    <row r="194" spans="1:1">
      <c r="A194"/>
    </row>
    <row r="195" spans="1:1">
      <c r="A195"/>
    </row>
    <row r="196" spans="1:1">
      <c r="A196"/>
    </row>
    <row r="197" spans="1:1">
      <c r="A197"/>
    </row>
    <row r="198" spans="1:1">
      <c r="A198"/>
    </row>
    <row r="199" spans="1:1">
      <c r="A199"/>
    </row>
    <row r="200" spans="1:1">
      <c r="A200"/>
    </row>
    <row r="201" spans="1:1">
      <c r="A201"/>
    </row>
    <row r="202" spans="1:1">
      <c r="A202"/>
    </row>
    <row r="203" spans="1:1">
      <c r="A203"/>
    </row>
    <row r="204" spans="1:1">
      <c r="A204"/>
    </row>
    <row r="205" spans="1:1">
      <c r="A205"/>
    </row>
    <row r="206" spans="1:1">
      <c r="A206"/>
    </row>
    <row r="207" spans="1:1">
      <c r="A207"/>
    </row>
    <row r="208" spans="1:1">
      <c r="A208"/>
    </row>
    <row r="209" spans="1:1">
      <c r="A209"/>
    </row>
    <row r="210" spans="1:1">
      <c r="A210"/>
    </row>
    <row r="211" spans="1:1">
      <c r="A211"/>
    </row>
    <row r="212" spans="1:1">
      <c r="A212"/>
    </row>
    <row r="213" spans="1:1">
      <c r="A213"/>
    </row>
    <row r="214" spans="1:1">
      <c r="A214"/>
    </row>
    <row r="215" spans="1:1">
      <c r="A215"/>
    </row>
    <row r="216" spans="1:1">
      <c r="A216"/>
    </row>
    <row r="217" spans="1:1">
      <c r="A217"/>
    </row>
    <row r="218" spans="1:1">
      <c r="A218"/>
    </row>
    <row r="219" spans="1:1">
      <c r="A219"/>
    </row>
    <row r="220" spans="1:1">
      <c r="A220"/>
    </row>
    <row r="221" spans="1:1">
      <c r="A221"/>
    </row>
    <row r="222" spans="1:1">
      <c r="A222"/>
    </row>
    <row r="223" spans="1:1">
      <c r="A223"/>
    </row>
    <row r="224" spans="1:1">
      <c r="A224"/>
    </row>
    <row r="225" spans="1:1">
      <c r="A225"/>
    </row>
    <row r="226" spans="1:1">
      <c r="A226"/>
    </row>
    <row r="227" spans="1:1">
      <c r="A227"/>
    </row>
    <row r="228" spans="1:1">
      <c r="A228"/>
    </row>
    <row r="229" spans="1:1">
      <c r="A229"/>
    </row>
    <row r="230" spans="1:1">
      <c r="A230"/>
    </row>
    <row r="231" spans="1:1">
      <c r="A231"/>
    </row>
    <row r="232" spans="1:1">
      <c r="A232"/>
    </row>
    <row r="233" spans="1:1">
      <c r="A233"/>
    </row>
    <row r="234" spans="1:1">
      <c r="A234"/>
    </row>
    <row r="235" spans="1:1">
      <c r="A235"/>
    </row>
    <row r="236" spans="1:1">
      <c r="A236"/>
    </row>
    <row r="237" spans="1:1">
      <c r="A237"/>
    </row>
    <row r="238" spans="1:1">
      <c r="A238"/>
    </row>
    <row r="239" spans="1:1">
      <c r="A239"/>
    </row>
    <row r="240" spans="1:1">
      <c r="A240"/>
    </row>
    <row r="241" spans="1:1">
      <c r="A241"/>
    </row>
    <row r="242" spans="1:1">
      <c r="A242"/>
    </row>
    <row r="243" spans="1:1">
      <c r="A243"/>
    </row>
    <row r="244" spans="1:1">
      <c r="A244"/>
    </row>
    <row r="245" spans="1:1">
      <c r="A245"/>
    </row>
    <row r="246" spans="1:1">
      <c r="A246"/>
    </row>
    <row r="247" spans="1:1">
      <c r="A247"/>
    </row>
    <row r="248" spans="1:1">
      <c r="A248"/>
    </row>
    <row r="249" spans="1:1">
      <c r="A249"/>
    </row>
    <row r="250" spans="1:1">
      <c r="A250"/>
    </row>
    <row r="251" spans="1:1">
      <c r="A251"/>
    </row>
    <row r="252" spans="1:1">
      <c r="A252"/>
    </row>
    <row r="253" spans="1:1">
      <c r="A253"/>
    </row>
    <row r="254" spans="1:1">
      <c r="A254"/>
    </row>
    <row r="255" spans="1:1">
      <c r="A255"/>
    </row>
    <row r="256" spans="1:1">
      <c r="A256"/>
    </row>
    <row r="257" spans="1:1">
      <c r="A257"/>
    </row>
    <row r="258" spans="1:1">
      <c r="A258"/>
    </row>
    <row r="259" spans="1:1">
      <c r="A259"/>
    </row>
    <row r="260" spans="1:1">
      <c r="A260"/>
    </row>
    <row r="261" spans="1:1">
      <c r="A261"/>
    </row>
    <row r="262" spans="1:1">
      <c r="A262"/>
    </row>
    <row r="263" spans="1:1">
      <c r="A263"/>
    </row>
    <row r="264" spans="1:1">
      <c r="A264"/>
    </row>
    <row r="265" spans="1:1">
      <c r="A265"/>
    </row>
    <row r="266" spans="1:1">
      <c r="A266"/>
    </row>
    <row r="267" spans="1:1">
      <c r="A267"/>
    </row>
    <row r="268" spans="1:1">
      <c r="A268"/>
    </row>
    <row r="269" spans="1:1">
      <c r="A269"/>
    </row>
    <row r="270" spans="1:1">
      <c r="A270"/>
    </row>
    <row r="271" spans="1:1">
      <c r="A271"/>
    </row>
    <row r="272" spans="1:1">
      <c r="A272"/>
    </row>
    <row r="273" spans="1:1">
      <c r="A273"/>
    </row>
    <row r="274" spans="1:1">
      <c r="A274"/>
    </row>
    <row r="275" spans="1:1">
      <c r="A275"/>
    </row>
    <row r="276" spans="1:1">
      <c r="A276"/>
    </row>
    <row r="277" spans="1:1">
      <c r="A277"/>
    </row>
    <row r="278" spans="1:1">
      <c r="A278"/>
    </row>
    <row r="279" spans="1:1">
      <c r="A279"/>
    </row>
    <row r="280" spans="1:1">
      <c r="A280"/>
    </row>
    <row r="281" spans="1:1">
      <c r="A281"/>
    </row>
    <row r="282" spans="1:1">
      <c r="A282"/>
    </row>
    <row r="283" spans="1:1">
      <c r="A283"/>
    </row>
    <row r="284" spans="1:1">
      <c r="A284"/>
    </row>
    <row r="285" spans="1:1">
      <c r="A285"/>
    </row>
    <row r="286" spans="1:1">
      <c r="A286"/>
    </row>
    <row r="287" spans="1:1">
      <c r="A287"/>
    </row>
    <row r="288" spans="1:1">
      <c r="A288"/>
    </row>
    <row r="289" spans="1:1">
      <c r="A289"/>
    </row>
    <row r="290" spans="1:1">
      <c r="A290"/>
    </row>
    <row r="291" spans="1:1">
      <c r="A291"/>
    </row>
    <row r="292" spans="1:1">
      <c r="A292"/>
    </row>
    <row r="293" spans="1:1">
      <c r="A293"/>
    </row>
    <row r="294" spans="1:1">
      <c r="A294"/>
    </row>
    <row r="295" spans="1:1">
      <c r="A295"/>
    </row>
    <row r="296" spans="1:1">
      <c r="A296"/>
    </row>
    <row r="297" spans="1:1">
      <c r="A297"/>
    </row>
    <row r="298" spans="1:1">
      <c r="A298"/>
    </row>
    <row r="299" spans="1:1">
      <c r="A299"/>
    </row>
    <row r="300" spans="1:1">
      <c r="A300"/>
    </row>
    <row r="301" spans="1:1">
      <c r="A301"/>
    </row>
    <row r="302" spans="1:1">
      <c r="A302"/>
    </row>
    <row r="303" spans="1:1">
      <c r="A303"/>
    </row>
    <row r="304" spans="1:1">
      <c r="A304"/>
    </row>
    <row r="305" spans="1:1">
      <c r="A305"/>
    </row>
    <row r="306" spans="1:1">
      <c r="A306"/>
    </row>
    <row r="307" spans="1:1">
      <c r="A307"/>
    </row>
    <row r="308" spans="1:1">
      <c r="A308"/>
    </row>
    <row r="309" spans="1:1">
      <c r="A309"/>
    </row>
    <row r="310" spans="1:1">
      <c r="A310"/>
    </row>
    <row r="311" spans="1:1">
      <c r="A311"/>
    </row>
    <row r="312" spans="1:1">
      <c r="A312"/>
    </row>
    <row r="313" spans="1:1">
      <c r="A313"/>
    </row>
    <row r="314" spans="1:1">
      <c r="A314"/>
    </row>
    <row r="315" spans="1:1">
      <c r="A315"/>
    </row>
  </sheetData>
  <phoneticPr fontId="15" type="noConversion"/>
  <hyperlinks>
    <hyperlink ref="A8" r:id="rId1" display="See, Keith Mailinson, &quot; Cumulative Mobile-SEP Royalty Payments No More than Around 5% of Mobile Handset Revenues,&quot; IP Finance, August 19, 2015. "/>
  </hyperlinks>
  <pageMargins left="0.7" right="0.7" top="0.75" bottom="0.75" header="0.3" footer="0.3"/>
  <pageSetup orientation="portrait" horizontalDpi="4294967292" verticalDpi="4294967292"/>
  <headerFooter>
    <oddHeader>&amp;LA New Dataset on Mobile Phone 
Patent License Royalties&amp;C&amp;"-,Negrita"&amp;A&amp;RSeptember 2016 Update</oddHeader>
    <oddFooter>&amp;LAlexander Galetovic, Stephen Haber, _x000D_and Lew Zaretzki&amp;C&amp;P of &amp;N</oddFooter>
  </headerFooter>
  <rowBreaks count="1" manualBreakCount="1">
    <brk id="37" max="16383" man="1"/>
  </rowBreaks>
  <extLst>
    <ext xmlns:mx="http://schemas.microsoft.com/office/mac/excel/2008/main" uri="{64002731-A6B0-56B0-2670-7721B7C09600}">
      <mx:PLV Mode="1" OnePage="0" WScale="100"/>
    </ext>
  </extLst>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43"/>
  <sheetViews>
    <sheetView showGridLines="0" view="pageLayout" workbookViewId="0">
      <selection activeCell="A37" sqref="A37"/>
    </sheetView>
  </sheetViews>
  <sheetFormatPr baseColWidth="10" defaultRowHeight="15" x14ac:dyDescent="0"/>
  <cols>
    <col min="1" max="1" width="83.33203125" style="208" customWidth="1"/>
  </cols>
  <sheetData>
    <row r="3" spans="1:1" ht="18">
      <c r="A3" s="149" t="s">
        <v>3484</v>
      </c>
    </row>
    <row r="5" spans="1:1">
      <c r="A5" s="82" t="s">
        <v>3031</v>
      </c>
    </row>
    <row r="6" spans="1:1" ht="15.75" customHeight="1">
      <c r="A6" s="338"/>
    </row>
    <row r="7" spans="1:1" s="325" customFormat="1">
      <c r="A7" s="392" t="s">
        <v>3523</v>
      </c>
    </row>
    <row r="8" spans="1:1" s="325" customFormat="1" ht="15.75" customHeight="1">
      <c r="A8" s="392"/>
    </row>
    <row r="9" spans="1:1" s="325" customFormat="1" ht="409.5" customHeight="1">
      <c r="A9" s="392"/>
    </row>
    <row r="10" spans="1:1" s="325" customFormat="1">
      <c r="A10" s="392"/>
    </row>
    <row r="11" spans="1:1" s="340" customFormat="1">
      <c r="A11" s="392"/>
    </row>
    <row r="12" spans="1:1" s="340" customFormat="1">
      <c r="A12" s="392"/>
    </row>
    <row r="13" spans="1:1" s="340" customFormat="1">
      <c r="A13" s="392"/>
    </row>
    <row r="14" spans="1:1" s="340" customFormat="1">
      <c r="A14" s="339"/>
    </row>
    <row r="15" spans="1:1" s="340" customFormat="1">
      <c r="A15" s="339"/>
    </row>
    <row r="16" spans="1:1" s="340" customFormat="1">
      <c r="A16" s="339"/>
    </row>
    <row r="17" spans="1:1" s="340" customFormat="1">
      <c r="A17" s="339"/>
    </row>
    <row r="18" spans="1:1" s="340" customFormat="1">
      <c r="A18" s="339"/>
    </row>
    <row r="19" spans="1:1" s="340" customFormat="1">
      <c r="A19" s="339"/>
    </row>
    <row r="20" spans="1:1" s="325" customFormat="1" ht="15.75" customHeight="1">
      <c r="A20" s="82" t="s">
        <v>3239</v>
      </c>
    </row>
    <row r="21" spans="1:1" s="325" customFormat="1">
      <c r="A21" s="133" t="s">
        <v>3494</v>
      </c>
    </row>
    <row r="22" spans="1:1" s="325" customFormat="1">
      <c r="A22" s="133" t="s">
        <v>3495</v>
      </c>
    </row>
    <row r="23" spans="1:1" s="325" customFormat="1">
      <c r="A23" s="208" t="s">
        <v>3496</v>
      </c>
    </row>
    <row r="24" spans="1:1" s="325" customFormat="1">
      <c r="A24" s="324" t="s">
        <v>3497</v>
      </c>
    </row>
    <row r="25" spans="1:1">
      <c r="A25" s="208" t="s">
        <v>3498</v>
      </c>
    </row>
    <row r="26" spans="1:1">
      <c r="A26" s="324" t="s">
        <v>3499</v>
      </c>
    </row>
    <row r="27" spans="1:1">
      <c r="A27" s="324" t="s">
        <v>3500</v>
      </c>
    </row>
    <row r="28" spans="1:1" s="325" customFormat="1">
      <c r="A28" s="218" t="s">
        <v>3501</v>
      </c>
    </row>
    <row r="29" spans="1:1">
      <c r="A29" s="218" t="s">
        <v>3502</v>
      </c>
    </row>
    <row r="30" spans="1:1">
      <c r="A30" s="218" t="s">
        <v>3485</v>
      </c>
    </row>
    <row r="31" spans="1:1">
      <c r="A31" s="218" t="s">
        <v>3486</v>
      </c>
    </row>
    <row r="32" spans="1:1" s="325" customFormat="1">
      <c r="A32" s="218" t="s">
        <v>3487</v>
      </c>
    </row>
    <row r="33" spans="1:1">
      <c r="A33" s="218" t="s">
        <v>3488</v>
      </c>
    </row>
    <row r="34" spans="1:1" s="325" customFormat="1">
      <c r="A34" s="218" t="s">
        <v>3490</v>
      </c>
    </row>
    <row r="35" spans="1:1" s="325" customFormat="1">
      <c r="A35" s="218" t="s">
        <v>3489</v>
      </c>
    </row>
    <row r="36" spans="1:1">
      <c r="A36" s="218" t="s">
        <v>3491</v>
      </c>
    </row>
    <row r="37" spans="1:1" s="325" customFormat="1">
      <c r="A37" s="218" t="s">
        <v>3492</v>
      </c>
    </row>
    <row r="38" spans="1:1" s="325" customFormat="1">
      <c r="A38" s="133" t="s">
        <v>3493</v>
      </c>
    </row>
    <row r="39" spans="1:1" s="325" customFormat="1">
      <c r="A39" s="218"/>
    </row>
    <row r="40" spans="1:1" s="325" customFormat="1">
      <c r="A40" s="218" t="s">
        <v>11</v>
      </c>
    </row>
    <row r="41" spans="1:1" s="325" customFormat="1">
      <c r="A41" s="218" t="s">
        <v>11</v>
      </c>
    </row>
    <row r="42" spans="1:1" s="325" customFormat="1">
      <c r="A42" s="133" t="s">
        <v>11</v>
      </c>
    </row>
    <row r="43" spans="1:1" s="325" customFormat="1">
      <c r="A43" s="133"/>
    </row>
  </sheetData>
  <mergeCells count="1">
    <mergeCell ref="A7:A13"/>
  </mergeCells>
  <phoneticPr fontId="15" type="noConversion"/>
  <pageMargins left="0.7" right="0.7" top="0.75" bottom="0.75" header="0.3" footer="0.3"/>
  <pageSetup orientation="portrait"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432FF"/>
  </sheetPr>
  <dimension ref="A8:A37"/>
  <sheetViews>
    <sheetView showGridLines="0" view="pageLayout" workbookViewId="0">
      <selection activeCell="A35" sqref="A35"/>
    </sheetView>
  </sheetViews>
  <sheetFormatPr baseColWidth="10" defaultRowHeight="15" x14ac:dyDescent="0"/>
  <cols>
    <col min="1" max="1" width="81.5" customWidth="1"/>
  </cols>
  <sheetData>
    <row r="8" spans="1:1">
      <c r="A8" s="146"/>
    </row>
    <row r="12" spans="1:1" ht="25">
      <c r="A12" s="152" t="s">
        <v>3045</v>
      </c>
    </row>
    <row r="13" spans="1:1" ht="25">
      <c r="A13" s="152" t="s">
        <v>3046</v>
      </c>
    </row>
    <row r="15" spans="1:1" ht="24" customHeight="1">
      <c r="A15" s="416" t="s">
        <v>3049</v>
      </c>
    </row>
    <row r="16" spans="1:1">
      <c r="A16" s="416"/>
    </row>
    <row r="17" spans="1:1">
      <c r="A17" s="416"/>
    </row>
    <row r="18" spans="1:1">
      <c r="A18" s="416"/>
    </row>
    <row r="19" spans="1:1">
      <c r="A19" s="416"/>
    </row>
    <row r="20" spans="1:1">
      <c r="A20" s="416"/>
    </row>
    <row r="21" spans="1:1">
      <c r="A21" s="416"/>
    </row>
    <row r="22" spans="1:1">
      <c r="A22" s="416"/>
    </row>
    <row r="23" spans="1:1">
      <c r="A23" s="416"/>
    </row>
    <row r="24" spans="1:1">
      <c r="A24" s="416"/>
    </row>
    <row r="25" spans="1:1">
      <c r="A25" s="416"/>
    </row>
    <row r="26" spans="1:1">
      <c r="A26" s="416"/>
    </row>
    <row r="27" spans="1:1">
      <c r="A27" s="416"/>
    </row>
    <row r="28" spans="1:1">
      <c r="A28" s="416"/>
    </row>
    <row r="29" spans="1:1">
      <c r="A29" s="416"/>
    </row>
    <row r="30" spans="1:1">
      <c r="A30" s="416"/>
    </row>
    <row r="31" spans="1:1">
      <c r="A31" s="416"/>
    </row>
    <row r="32" spans="1:1">
      <c r="A32" s="416"/>
    </row>
    <row r="33" spans="1:1">
      <c r="A33" s="416"/>
    </row>
    <row r="35" spans="1:1">
      <c r="A35" s="128" t="s">
        <v>3006</v>
      </c>
    </row>
    <row r="36" spans="1:1">
      <c r="A36" s="128" t="s">
        <v>3005</v>
      </c>
    </row>
    <row r="37" spans="1:1">
      <c r="A37" s="128" t="s">
        <v>3007</v>
      </c>
    </row>
  </sheetData>
  <mergeCells count="1">
    <mergeCell ref="A15:A33"/>
  </mergeCells>
  <phoneticPr fontId="15" type="noConversion"/>
  <pageMargins left="0.7" right="0.7" top="0.75" bottom="0.75" header="0.3" footer="0.3"/>
  <pageSetup orientation="portrait" horizontalDpi="4294967292" verticalDpi="4294967292"/>
  <headerFooter>
    <oddHeader>&amp;LA New Dataset on Mobile Phone _x000D_Patent License Royalties&amp;RSeptember 2016 Update</oddHeader>
    <oddFooter>&amp;LAlexander Galetovic, Stephen Haber, _x000D_and Lew Zaretzki&amp;C&amp;P</oddFooter>
  </headerFooter>
  <extLst>
    <ext xmlns:mx="http://schemas.microsoft.com/office/mac/excel/2008/main" uri="{64002731-A6B0-56B0-2670-7721B7C09600}">
      <mx:PLV Mode="1" OnePage="0" WScale="10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32"/>
  <sheetViews>
    <sheetView showGridLines="0" view="pageLayout" workbookViewId="0">
      <selection activeCell="A30" sqref="A30"/>
    </sheetView>
  </sheetViews>
  <sheetFormatPr baseColWidth="10" defaultRowHeight="15" x14ac:dyDescent="0"/>
  <cols>
    <col min="1" max="1" width="77.1640625" customWidth="1"/>
  </cols>
  <sheetData>
    <row r="2" spans="1:1">
      <c r="A2" s="246" t="s">
        <v>3026</v>
      </c>
    </row>
    <row r="3" spans="1:1" ht="18">
      <c r="A3" s="147" t="str">
        <f>CONCATENATE(VLOOKUP($A$2,'Table of Contents'!$B:$E,4,FALSE)," ",$A$2)</f>
        <v>1.2 Contact Information</v>
      </c>
    </row>
    <row r="4" spans="1:1" ht="30">
      <c r="A4" s="130" t="s">
        <v>3015</v>
      </c>
    </row>
    <row r="6" spans="1:1">
      <c r="A6" s="44" t="s">
        <v>3008</v>
      </c>
    </row>
    <row r="7" spans="1:1">
      <c r="A7" t="s">
        <v>3019</v>
      </c>
    </row>
    <row r="8" spans="1:1">
      <c r="A8" t="s">
        <v>3020</v>
      </c>
    </row>
    <row r="9" spans="1:1">
      <c r="A9" t="s">
        <v>3021</v>
      </c>
    </row>
    <row r="12" spans="1:1">
      <c r="A12" s="125" t="s">
        <v>3024</v>
      </c>
    </row>
    <row r="13" spans="1:1">
      <c r="A13" s="125" t="s">
        <v>3018</v>
      </c>
    </row>
    <row r="16" spans="1:1">
      <c r="A16" s="44" t="s">
        <v>3009</v>
      </c>
    </row>
    <row r="17" spans="1:1" ht="45">
      <c r="A17" s="130" t="s">
        <v>3069</v>
      </c>
    </row>
    <row r="19" spans="1:1">
      <c r="A19" t="s">
        <v>3022</v>
      </c>
    </row>
    <row r="20" spans="1:1">
      <c r="A20" t="s">
        <v>3337</v>
      </c>
    </row>
    <row r="21" spans="1:1">
      <c r="A21" s="125" t="s">
        <v>3017</v>
      </c>
    </row>
    <row r="22" spans="1:1">
      <c r="A22" s="125" t="s">
        <v>3016</v>
      </c>
    </row>
    <row r="26" spans="1:1">
      <c r="A26" s="44" t="s">
        <v>3010</v>
      </c>
    </row>
    <row r="27" spans="1:1">
      <c r="A27" t="s">
        <v>3013</v>
      </c>
    </row>
    <row r="28" spans="1:1">
      <c r="A28" t="s">
        <v>3014</v>
      </c>
    </row>
    <row r="30" spans="1:1">
      <c r="A30" t="s">
        <v>3023</v>
      </c>
    </row>
    <row r="31" spans="1:1">
      <c r="A31" s="125" t="s">
        <v>3011</v>
      </c>
    </row>
    <row r="32" spans="1:1">
      <c r="A32" t="s">
        <v>3012</v>
      </c>
    </row>
  </sheetData>
  <phoneticPr fontId="15" type="noConversion"/>
  <hyperlinks>
    <hyperlink ref="A31" r:id="rId1"/>
    <hyperlink ref="A22" r:id="rId2"/>
    <hyperlink ref="A21" r:id="rId3"/>
    <hyperlink ref="A13" r:id="rId4"/>
    <hyperlink ref="A12" r:id="rId5"/>
  </hyperlinks>
  <pageMargins left="0.7" right="0.7" top="0.75" bottom="0.75" header="0.3" footer="0.3"/>
  <pageSetup orientation="portrait"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9"/>
  <sheetViews>
    <sheetView showGridLines="0" view="pageLayout" workbookViewId="0">
      <selection activeCell="D11" sqref="D11"/>
    </sheetView>
  </sheetViews>
  <sheetFormatPr baseColWidth="10" defaultRowHeight="15" x14ac:dyDescent="0"/>
  <cols>
    <col min="1" max="1" width="20.6640625" style="130" customWidth="1"/>
    <col min="2" max="2" width="22.6640625" style="130" customWidth="1"/>
    <col min="3" max="3" width="18.1640625" style="255" customWidth="1"/>
    <col min="4" max="4" width="17.83203125" style="130" customWidth="1"/>
    <col min="5" max="5" width="15.33203125" style="130" customWidth="1"/>
    <col min="6" max="6" width="15.83203125" style="130" customWidth="1"/>
  </cols>
  <sheetData>
    <row r="2" spans="1:6" ht="30">
      <c r="A2" s="300" t="s">
        <v>3394</v>
      </c>
    </row>
    <row r="3" spans="1:6" ht="18">
      <c r="A3" s="155" t="str">
        <f>CONCATENATE(VLOOKUP($A$2,'Table of Contents'!$B:$E,4,FALSE)," ",$A$2)</f>
        <v>1.3 Royalty Yield Summary 2015</v>
      </c>
    </row>
    <row r="5" spans="1:6">
      <c r="A5" s="377" t="s">
        <v>3514</v>
      </c>
      <c r="B5" s="377"/>
      <c r="C5" s="377"/>
      <c r="D5" s="377"/>
      <c r="E5" s="377"/>
      <c r="F5" s="377"/>
    </row>
    <row r="6" spans="1:6" s="330" customFormat="1">
      <c r="A6" s="329"/>
      <c r="B6" s="329"/>
      <c r="C6" s="329"/>
      <c r="D6" s="329"/>
      <c r="E6" s="329"/>
      <c r="F6" s="329"/>
    </row>
    <row r="7" spans="1:6" ht="60">
      <c r="A7" s="143" t="s">
        <v>3385</v>
      </c>
      <c r="B7" s="142" t="s">
        <v>3387</v>
      </c>
      <c r="C7" s="142" t="s">
        <v>3386</v>
      </c>
      <c r="D7" s="142" t="s">
        <v>3369</v>
      </c>
      <c r="E7" s="142" t="s">
        <v>3518</v>
      </c>
      <c r="F7" s="142" t="s">
        <v>3370</v>
      </c>
    </row>
    <row r="8" spans="1:6">
      <c r="A8" s="219">
        <f>SUMIF('1.7 Revenues by Licensor'!$B$11:$AG$11, A$7,'1.7 Revenues by Licensor'!$B28:$AG28)/1000000</f>
        <v>13376.234387075332</v>
      </c>
      <c r="B8" s="219">
        <f>SUMIF('1.7 Revenues by Licensor'!$B$11:$AG$11, B$7,'1.7 Revenues by Licensor'!$B28:$AG28)/1000000</f>
        <v>397.20141209999991</v>
      </c>
      <c r="C8" s="219">
        <f>SUMIF('1.7 Revenues by Licensor'!$B$11:$AG$11, C$7,'1.7 Revenues by Licensor'!$B28:$AG28)/1000000</f>
        <v>500.88799999999998</v>
      </c>
      <c r="D8" s="282">
        <f>SUM(A8:C8)</f>
        <v>14274.323799175332</v>
      </c>
      <c r="E8" s="220">
        <f>'1.8 Device Sales'!N18/1000000</f>
        <v>437002.79080390208</v>
      </c>
      <c r="F8" s="220">
        <f>'1.8 Device Sales'!L18/1000000</f>
        <v>423794.97645269171</v>
      </c>
    </row>
    <row r="9" spans="1:6">
      <c r="A9" s="140"/>
      <c r="B9" s="144"/>
      <c r="C9" s="144"/>
    </row>
    <row r="10" spans="1:6" ht="30">
      <c r="A10" s="141" t="s">
        <v>3517</v>
      </c>
      <c r="B10" s="141" t="s">
        <v>3517</v>
      </c>
      <c r="C10" s="141" t="s">
        <v>3517</v>
      </c>
      <c r="D10" s="141" t="s">
        <v>3517</v>
      </c>
      <c r="E10" s="130" t="s">
        <v>11</v>
      </c>
    </row>
    <row r="11" spans="1:6">
      <c r="A11" s="221">
        <f>A8/E8</f>
        <v>3.0609036529191641E-2</v>
      </c>
      <c r="B11" s="283">
        <f>B8/E8</f>
        <v>9.0892191184709754E-4</v>
      </c>
      <c r="C11" s="283">
        <f>C8/E8</f>
        <v>1.1461894764529441E-3</v>
      </c>
      <c r="D11" s="283">
        <f>SUM(A11:C11)</f>
        <v>3.2664147917491684E-2</v>
      </c>
    </row>
    <row r="13" spans="1:6">
      <c r="A13" s="284" t="s">
        <v>3338</v>
      </c>
      <c r="B13" s="284" t="s">
        <v>3339</v>
      </c>
      <c r="C13" s="284" t="s">
        <v>3339</v>
      </c>
      <c r="D13" s="284" t="s">
        <v>3339</v>
      </c>
      <c r="E13"/>
    </row>
    <row r="14" spans="1:6">
      <c r="A14" s="197">
        <f>A8/F8</f>
        <v>3.1562984769283889E-2</v>
      </c>
      <c r="B14" s="197">
        <f>B8/F8</f>
        <v>9.3724898634880245E-4</v>
      </c>
      <c r="C14" s="197">
        <f>C8/F8</f>
        <v>1.1819111311620614E-3</v>
      </c>
      <c r="D14" s="197">
        <f>D8/F8</f>
        <v>3.3682144886794753E-2</v>
      </c>
      <c r="E14"/>
    </row>
    <row r="15" spans="1:6">
      <c r="A15"/>
      <c r="B15"/>
      <c r="C15"/>
      <c r="D15"/>
      <c r="E15"/>
      <c r="F15" s="132"/>
    </row>
    <row r="16" spans="1:6">
      <c r="A16"/>
      <c r="B16"/>
      <c r="C16"/>
      <c r="D16"/>
      <c r="E16"/>
    </row>
    <row r="17" spans="1:5">
      <c r="A17"/>
      <c r="B17"/>
      <c r="C17"/>
      <c r="D17"/>
      <c r="E17"/>
    </row>
    <row r="18" spans="1:5">
      <c r="A18"/>
      <c r="B18"/>
      <c r="C18"/>
      <c r="D18"/>
      <c r="E18"/>
    </row>
    <row r="19" spans="1:5">
      <c r="A19"/>
      <c r="B19"/>
      <c r="C19"/>
      <c r="D19"/>
      <c r="E19"/>
    </row>
    <row r="20" spans="1:5">
      <c r="A20"/>
      <c r="B20"/>
      <c r="C20"/>
      <c r="D20"/>
      <c r="E20"/>
    </row>
    <row r="21" spans="1:5">
      <c r="A21"/>
      <c r="B21"/>
      <c r="C21"/>
      <c r="D21"/>
      <c r="E21"/>
    </row>
    <row r="22" spans="1:5">
      <c r="A22"/>
      <c r="B22"/>
      <c r="C22"/>
      <c r="D22"/>
      <c r="E22"/>
    </row>
    <row r="23" spans="1:5">
      <c r="A23"/>
      <c r="B23"/>
      <c r="C23"/>
      <c r="D23"/>
      <c r="E23"/>
    </row>
    <row r="24" spans="1:5">
      <c r="A24"/>
      <c r="B24"/>
      <c r="C24"/>
      <c r="D24"/>
      <c r="E24"/>
    </row>
    <row r="25" spans="1:5">
      <c r="A25"/>
      <c r="B25"/>
      <c r="C25"/>
      <c r="D25"/>
      <c r="E25"/>
    </row>
    <row r="26" spans="1:5">
      <c r="A26"/>
      <c r="B26"/>
      <c r="C26"/>
      <c r="D26"/>
      <c r="E26"/>
    </row>
    <row r="27" spans="1:5">
      <c r="A27"/>
      <c r="B27"/>
      <c r="C27"/>
      <c r="D27"/>
      <c r="E27"/>
    </row>
    <row r="28" spans="1:5">
      <c r="A28"/>
      <c r="B28"/>
      <c r="C28"/>
      <c r="D28"/>
      <c r="E28"/>
    </row>
    <row r="29" spans="1:5">
      <c r="A29"/>
      <c r="B29"/>
      <c r="C29"/>
      <c r="D29"/>
      <c r="E29"/>
    </row>
  </sheetData>
  <mergeCells count="1">
    <mergeCell ref="A5:F5"/>
  </mergeCells>
  <phoneticPr fontId="15" type="noConversion"/>
  <pageMargins left="0.7" right="0.7" top="0.75" bottom="0.75" header="0.3" footer="0.3"/>
  <pageSetup orientation="landscape"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34"/>
  <sheetViews>
    <sheetView showGridLines="0" view="pageLayout" topLeftCell="A3" workbookViewId="0">
      <selection activeCell="C18" sqref="C18"/>
    </sheetView>
  </sheetViews>
  <sheetFormatPr baseColWidth="10" defaultRowHeight="15" x14ac:dyDescent="0"/>
  <cols>
    <col min="1" max="1" width="5.1640625" customWidth="1"/>
    <col min="2" max="4" width="14" style="255" customWidth="1"/>
    <col min="5" max="5" width="9" style="255" customWidth="1"/>
    <col min="6" max="8" width="16.5" customWidth="1"/>
  </cols>
  <sheetData>
    <row r="2" spans="1:8">
      <c r="A2" s="246" t="s">
        <v>3396</v>
      </c>
    </row>
    <row r="3" spans="1:8" ht="18">
      <c r="A3" s="155" t="str">
        <f>CONCATENATE(VLOOKUP($A$2,'Table of Contents'!$B:$E,4,FALSE)," ",$A$2)</f>
        <v>1.4 Royalty Yield Series</v>
      </c>
    </row>
    <row r="5" spans="1:8" ht="15" customHeight="1">
      <c r="A5" s="377" t="s">
        <v>3371</v>
      </c>
      <c r="B5" s="378"/>
      <c r="C5" s="378"/>
      <c r="D5" s="378"/>
      <c r="E5" s="378"/>
      <c r="F5" s="378"/>
      <c r="G5" s="378"/>
      <c r="H5" s="378"/>
    </row>
    <row r="6" spans="1:8" ht="15" customHeight="1">
      <c r="A6" s="290"/>
      <c r="B6" s="291"/>
      <c r="D6" s="291"/>
      <c r="E6" s="291"/>
      <c r="F6" s="291"/>
      <c r="G6" s="291"/>
      <c r="H6" s="291"/>
    </row>
    <row r="7" spans="1:8" ht="15" customHeight="1">
      <c r="A7" s="290"/>
      <c r="B7" s="291"/>
      <c r="C7" s="298">
        <v>2007</v>
      </c>
      <c r="D7" s="298">
        <v>2009</v>
      </c>
      <c r="E7" s="291"/>
      <c r="F7" s="291"/>
      <c r="G7" s="291"/>
      <c r="H7" s="291"/>
    </row>
    <row r="8" spans="1:8" ht="15" customHeight="1">
      <c r="A8" s="290"/>
      <c r="B8" s="291"/>
      <c r="C8" s="377"/>
      <c r="D8" s="377"/>
      <c r="E8" s="291"/>
      <c r="F8" s="377"/>
      <c r="G8" s="377"/>
      <c r="H8" s="291"/>
    </row>
    <row r="9" spans="1:8" ht="60">
      <c r="B9" s="160" t="s">
        <v>3346</v>
      </c>
      <c r="C9" s="201" t="str">
        <f>CONCATENATE("Total, Firms Covered Since ",C7)</f>
        <v>Total, Firms Covered Since 2007</v>
      </c>
      <c r="D9" s="201" t="str">
        <f>CONCATENATE("Total, Firms Covered Since ",D7)</f>
        <v>Total, Firms Covered Since 2009</v>
      </c>
      <c r="F9" s="176" t="s">
        <v>3404</v>
      </c>
      <c r="G9" s="249" t="str">
        <f>CONCATENATE(C9," as % Mobile Phone Revenues")</f>
        <v>Total, Firms Covered Since 2007 as % Mobile Phone Revenues</v>
      </c>
      <c r="H9" s="249" t="str">
        <f>CONCATENATE(D9," as % Mobile Phone Revenues")</f>
        <v>Total, Firms Covered Since 2009 as % Mobile Phone Revenues</v>
      </c>
    </row>
    <row r="10" spans="1:8">
      <c r="B10" s="357">
        <v>2007</v>
      </c>
      <c r="C10" s="313">
        <f>SUMIFS('1.7 Revenues by Licensor'!$B20:$AG20,'1.7 Revenues by Licensor'!$B$9:$AG$9,CONCATENATE("&lt;=",$C$7))/1000000</f>
        <v>4658.5286315365374</v>
      </c>
      <c r="D10" s="313">
        <f>SUMIFS('1.7 Revenues by Licensor'!$B20:$AG20,'1.7 Revenues by Licensor'!$B$9:$AG$9,CONCATENATE("&lt;=",$D$7))/1000000</f>
        <v>4658.5286315365374</v>
      </c>
      <c r="F10" s="358">
        <f>'1.8 Device Sales'!N10/1000000</f>
        <v>219477.90025180948</v>
      </c>
      <c r="G10" s="197">
        <f t="shared" ref="G10:G18" si="0">C10/F10</f>
        <v>2.1225502094706368E-2</v>
      </c>
      <c r="H10" s="296"/>
    </row>
    <row r="11" spans="1:8">
      <c r="B11" s="357">
        <v>2008</v>
      </c>
      <c r="C11" s="313">
        <f>SUMIFS('1.7 Revenues by Licensor'!$B21:$AG21,'1.7 Revenues by Licensor'!$B$9:$AG$9,CONCATENATE("&lt;=",$C$7))/1000000</f>
        <v>5592.7414519636959</v>
      </c>
      <c r="D11" s="313">
        <f>SUMIFS('1.7 Revenues by Licensor'!$B21:$AG21,'1.7 Revenues by Licensor'!$B$9:$AG$9,CONCATENATE("&lt;=",$D$7))/1000000</f>
        <v>5592.7414519636959</v>
      </c>
      <c r="F11" s="358">
        <f>'1.8 Device Sales'!N11/1000000</f>
        <v>245510.25288286316</v>
      </c>
      <c r="G11" s="197">
        <f t="shared" si="0"/>
        <v>2.2780072873910002E-2</v>
      </c>
      <c r="H11" s="296"/>
    </row>
    <row r="12" spans="1:8">
      <c r="B12" s="357">
        <v>2009</v>
      </c>
      <c r="C12" s="313">
        <f>SUMIFS('1.7 Revenues by Licensor'!$B22:$AG22,'1.7 Revenues by Licensor'!$B$9:$AG$9,CONCATENATE("&lt;=",$C$7))/1000000</f>
        <v>5652.1434097927613</v>
      </c>
      <c r="D12" s="313">
        <f>SUMIFS('1.7 Revenues by Licensor'!$B22:$AG22,'1.7 Revenues by Licensor'!$B$9:$AG$9,CONCATENATE("&lt;=",$D$7))/1000000</f>
        <v>6624.7006571868669</v>
      </c>
      <c r="F12" s="358">
        <f>'1.8 Device Sales'!N12/1000000</f>
        <v>217738.36654735595</v>
      </c>
      <c r="G12" s="197">
        <f t="shared" si="0"/>
        <v>2.5958417431975526E-2</v>
      </c>
      <c r="H12" s="197">
        <f t="shared" ref="H12:H18" si="1">D12/F12</f>
        <v>3.0425049853334229E-2</v>
      </c>
    </row>
    <row r="13" spans="1:8">
      <c r="B13" s="357">
        <v>2010</v>
      </c>
      <c r="C13" s="313">
        <f>SUMIFS('1.7 Revenues by Licensor'!$B23:$AG23,'1.7 Revenues by Licensor'!$B$9:$AG$9,CONCATENATE("&lt;=",$C$7))/1000000</f>
        <v>6230.6701403487423</v>
      </c>
      <c r="D13" s="313">
        <f>SUMIFS('1.7 Revenues by Licensor'!$B23:$AG23,'1.7 Revenues by Licensor'!$B$9:$AG$9,CONCATENATE("&lt;=",$D$7))/1000000</f>
        <v>7176.844099657902</v>
      </c>
      <c r="F13" s="358">
        <f>'1.8 Device Sales'!N13/1000000</f>
        <v>259456.74982024421</v>
      </c>
      <c r="G13" s="197">
        <f t="shared" si="0"/>
        <v>2.4014291956811495E-2</v>
      </c>
      <c r="H13" s="197">
        <f t="shared" si="1"/>
        <v>2.7661042176124286E-2</v>
      </c>
    </row>
    <row r="14" spans="1:8">
      <c r="B14" s="357">
        <v>2011</v>
      </c>
      <c r="C14" s="313">
        <f>SUMIFS('1.7 Revenues by Licensor'!$B24:$AG24,'1.7 Revenues by Licensor'!$B$9:$AG$9,CONCATENATE("&lt;=",$C$7))/1000000</f>
        <v>8196.0570566843762</v>
      </c>
      <c r="D14" s="313">
        <f>SUMIFS('1.7 Revenues by Licensor'!$B24:$AG24,'1.7 Revenues by Licensor'!$B$9:$AG$9,CONCATENATE("&lt;=",$D$7))/1000000</f>
        <v>9828.9053326179455</v>
      </c>
      <c r="F14" s="358">
        <f>'1.8 Device Sales'!N14/1000000</f>
        <v>304945.72376551793</v>
      </c>
      <c r="G14" s="197">
        <f t="shared" si="0"/>
        <v>2.6877101129598308E-2</v>
      </c>
      <c r="H14" s="197">
        <f t="shared" si="1"/>
        <v>3.2231654903203989E-2</v>
      </c>
    </row>
    <row r="15" spans="1:8">
      <c r="B15" s="357">
        <v>2012</v>
      </c>
      <c r="C15" s="313">
        <f>SUMIFS('1.7 Revenues by Licensor'!$B25:$AG25,'1.7 Revenues by Licensor'!$B$9:$AG$9,CONCATENATE("&lt;=",$C$7))/1000000</f>
        <v>9687.1127732753157</v>
      </c>
      <c r="D15" s="313">
        <f>SUMIFS('1.7 Revenues by Licensor'!$B25:$AG25,'1.7 Revenues by Licensor'!$B$9:$AG$9,CONCATENATE("&lt;=",$D$7))/1000000</f>
        <v>11051.340884785775</v>
      </c>
      <c r="F15" s="358">
        <f>'1.8 Device Sales'!N15/1000000</f>
        <v>340108.50844263093</v>
      </c>
      <c r="G15" s="197">
        <f t="shared" si="0"/>
        <v>2.8482418207156749E-2</v>
      </c>
      <c r="H15" s="197">
        <f t="shared" si="1"/>
        <v>3.2493573699141673E-2</v>
      </c>
    </row>
    <row r="16" spans="1:8">
      <c r="B16" s="357">
        <v>2013</v>
      </c>
      <c r="C16" s="313">
        <f>SUMIFS('1.7 Revenues by Licensor'!$B26:$AG26,'1.7 Revenues by Licensor'!$B$9:$AG$9,CONCATENATE("&lt;=",$C$7))/1000000</f>
        <v>10210.00944877929</v>
      </c>
      <c r="D16" s="313">
        <f>SUMIFS('1.7 Revenues by Licensor'!$B26:$AG26,'1.7 Revenues by Licensor'!$B$9:$AG$9,CONCATENATE("&lt;=",$D$7))/1000000</f>
        <v>12757.343232821842</v>
      </c>
      <c r="F16" s="358">
        <f>'1.8 Device Sales'!N16/1000000</f>
        <v>376851.61994675174</v>
      </c>
      <c r="G16" s="197">
        <f t="shared" si="0"/>
        <v>2.7092916438098212E-2</v>
      </c>
      <c r="H16" s="197">
        <f t="shared" si="1"/>
        <v>3.385243039322592E-2</v>
      </c>
    </row>
    <row r="17" spans="1:8">
      <c r="B17" s="357">
        <v>2014</v>
      </c>
      <c r="C17" s="313">
        <f>SUMIFS('1.7 Revenues by Licensor'!$B27:$AG27,'1.7 Revenues by Licensor'!$B$9:$AG$9,CONCATENATE("&lt;=",$C$7))/1000000</f>
        <v>10014.68557115656</v>
      </c>
      <c r="D17" s="313">
        <f>SUMIFS('1.7 Revenues by Licensor'!$B27:$AG27,'1.7 Revenues by Licensor'!$B$9:$AG$9,CONCATENATE("&lt;=",$D$7))/1000000</f>
        <v>13315.763267984164</v>
      </c>
      <c r="F17" s="358">
        <f>'1.8 Device Sales'!N17/1000000</f>
        <v>412093.06839989283</v>
      </c>
      <c r="G17" s="197">
        <f t="shared" si="0"/>
        <v>2.430199957024845E-2</v>
      </c>
      <c r="H17" s="197">
        <f t="shared" si="1"/>
        <v>3.231251454844327E-2</v>
      </c>
    </row>
    <row r="18" spans="1:8">
      <c r="B18" s="357">
        <v>2015</v>
      </c>
      <c r="C18" s="313">
        <f>SUMIFS('1.7 Revenues by Licensor'!$B28:$AG28,'1.7 Revenues by Licensor'!$B$9:$AG$9,CONCATENATE("&lt;=",$C$7))/1000000</f>
        <v>10832.633339062888</v>
      </c>
      <c r="D18" s="313">
        <f>SUMIFS('1.7 Revenues by Licensor'!$B28:$AG28,'1.7 Revenues by Licensor'!$B$9:$AG$9,CONCATENATE("&lt;=",$D$7))/1000000</f>
        <v>13139.848173905546</v>
      </c>
      <c r="F18" s="358">
        <f>'1.8 Device Sales'!N18/1000000</f>
        <v>437002.79080390208</v>
      </c>
      <c r="G18" s="197">
        <f t="shared" si="0"/>
        <v>2.4788476337039816E-2</v>
      </c>
      <c r="H18" s="197">
        <f t="shared" si="1"/>
        <v>3.0068110434108966E-2</v>
      </c>
    </row>
    <row r="19" spans="1:8">
      <c r="B19" s="140"/>
      <c r="C19" s="140"/>
      <c r="D19" s="140"/>
    </row>
    <row r="20" spans="1:8">
      <c r="B20"/>
      <c r="C20" s="140"/>
      <c r="D20"/>
    </row>
    <row r="21" spans="1:8">
      <c r="B21"/>
      <c r="C21"/>
      <c r="D21"/>
      <c r="E21"/>
    </row>
    <row r="22" spans="1:8">
      <c r="B22"/>
      <c r="C22"/>
      <c r="D22"/>
      <c r="E22"/>
    </row>
    <row r="23" spans="1:8" s="255" customFormat="1">
      <c r="A23"/>
      <c r="B23"/>
      <c r="C23"/>
      <c r="D23"/>
      <c r="E23"/>
    </row>
    <row r="24" spans="1:8" s="255" customFormat="1">
      <c r="A24"/>
      <c r="B24"/>
      <c r="C24"/>
      <c r="D24"/>
      <c r="E24"/>
    </row>
    <row r="25" spans="1:8" s="255" customFormat="1">
      <c r="A25"/>
      <c r="B25"/>
      <c r="C25"/>
      <c r="D25"/>
      <c r="E25"/>
    </row>
    <row r="26" spans="1:8" s="255" customFormat="1">
      <c r="A26"/>
      <c r="B26"/>
      <c r="C26"/>
      <c r="D26"/>
      <c r="E26"/>
    </row>
    <row r="27" spans="1:8" s="255" customFormat="1">
      <c r="A27"/>
      <c r="B27"/>
      <c r="C27"/>
      <c r="D27"/>
      <c r="E27"/>
    </row>
    <row r="28" spans="1:8" s="255" customFormat="1">
      <c r="A28"/>
      <c r="B28"/>
      <c r="C28"/>
      <c r="D28"/>
      <c r="E28"/>
    </row>
    <row r="29" spans="1:8" s="255" customFormat="1">
      <c r="B29"/>
      <c r="C29"/>
      <c r="D29"/>
      <c r="E29"/>
    </row>
    <row r="30" spans="1:8" s="255" customFormat="1">
      <c r="B30"/>
      <c r="C30"/>
      <c r="D30"/>
      <c r="E30"/>
    </row>
    <row r="31" spans="1:8" s="255" customFormat="1">
      <c r="B31"/>
      <c r="C31"/>
      <c r="D31"/>
      <c r="E31"/>
    </row>
    <row r="32" spans="1:8" s="255" customFormat="1">
      <c r="B32"/>
      <c r="C32"/>
      <c r="D32"/>
      <c r="E32"/>
    </row>
    <row r="33" spans="2:5" s="255" customFormat="1">
      <c r="B33"/>
      <c r="C33"/>
      <c r="D33"/>
      <c r="E33"/>
    </row>
    <row r="34" spans="2:5" s="255" customFormat="1">
      <c r="B34"/>
      <c r="C34"/>
      <c r="D34"/>
      <c r="E34"/>
    </row>
  </sheetData>
  <mergeCells count="3">
    <mergeCell ref="A5:H5"/>
    <mergeCell ref="F8:G8"/>
    <mergeCell ref="C8:D8"/>
  </mergeCells>
  <phoneticPr fontId="15" type="noConversion"/>
  <pageMargins left="0.7" right="0.7" top="0.75" bottom="0.75" header="0.3" footer="0.3"/>
  <pageSetup orientation="landscape"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9"/>
  <sheetViews>
    <sheetView showGridLines="0" view="pageLayout" workbookViewId="0">
      <selection activeCell="E19" sqref="E19"/>
    </sheetView>
  </sheetViews>
  <sheetFormatPr baseColWidth="10" defaultRowHeight="15" x14ac:dyDescent="0"/>
  <cols>
    <col min="1" max="1" width="11.6640625" style="255" customWidth="1"/>
    <col min="2" max="2" width="22.33203125" style="327" customWidth="1"/>
    <col min="3" max="3" width="10.33203125" style="255" customWidth="1"/>
    <col min="4" max="4" width="8.33203125" style="255" customWidth="1"/>
    <col min="5" max="5" width="41.33203125" style="255" customWidth="1"/>
    <col min="6" max="6" width="11.5" style="255" customWidth="1"/>
    <col min="7" max="7" width="16" bestFit="1" customWidth="1"/>
  </cols>
  <sheetData>
    <row r="2" spans="1:6" ht="45">
      <c r="A2" s="300" t="s">
        <v>3367</v>
      </c>
      <c r="B2" s="300"/>
    </row>
    <row r="3" spans="1:6" ht="18">
      <c r="A3" s="155" t="str">
        <f>CONCATENATE(VLOOKUP($A$2,'Table of Contents'!$B:$E,4,FALSE)," ",$A$2)</f>
        <v>1.5 Economic Summary 2015</v>
      </c>
      <c r="B3" s="155"/>
    </row>
    <row r="5" spans="1:6" ht="16" customHeight="1">
      <c r="A5" s="379" t="s">
        <v>3516</v>
      </c>
      <c r="B5" s="379"/>
      <c r="C5" s="379"/>
      <c r="D5" s="379"/>
      <c r="E5" s="379"/>
      <c r="F5" s="379"/>
    </row>
    <row r="6" spans="1:6" s="328" customFormat="1">
      <c r="A6" s="326"/>
      <c r="B6" s="326"/>
      <c r="C6" s="326"/>
      <c r="D6" s="326"/>
      <c r="E6" s="326"/>
      <c r="F6" s="326"/>
    </row>
    <row r="7" spans="1:6" s="328" customFormat="1" ht="30">
      <c r="A7" s="169" t="s">
        <v>3508</v>
      </c>
      <c r="B7" s="169" t="s">
        <v>3509</v>
      </c>
      <c r="C7" s="169" t="s">
        <v>3504</v>
      </c>
      <c r="D7" s="169" t="s">
        <v>3503</v>
      </c>
      <c r="E7" s="169" t="s">
        <v>2</v>
      </c>
      <c r="F7" s="169" t="s">
        <v>3513</v>
      </c>
    </row>
    <row r="8" spans="1:6">
      <c r="A8" s="326" t="s">
        <v>3470</v>
      </c>
      <c r="B8" s="285" t="s">
        <v>3404</v>
      </c>
      <c r="C8" s="373">
        <f>'1.8 Device Sales'!N18/1000000</f>
        <v>437002.79080390208</v>
      </c>
      <c r="D8" s="292" t="s">
        <v>11</v>
      </c>
      <c r="E8" s="380" t="s">
        <v>11</v>
      </c>
      <c r="F8" s="380"/>
    </row>
    <row r="9" spans="1:6">
      <c r="A9" s="382" t="s">
        <v>3506</v>
      </c>
      <c r="B9" s="286" t="s">
        <v>3568</v>
      </c>
      <c r="C9" s="373">
        <f>'1.7 Revenues by Licensor'!AH28/1000000</f>
        <v>14274.323799175332</v>
      </c>
      <c r="D9" s="197">
        <f>C9/C8</f>
        <v>3.2664147917491684E-2</v>
      </c>
      <c r="E9" s="381"/>
      <c r="F9" s="381"/>
    </row>
    <row r="10" spans="1:6" ht="16" customHeight="1">
      <c r="A10" s="382"/>
      <c r="B10" s="286" t="s">
        <v>3566</v>
      </c>
      <c r="C10" s="373">
        <f>F10*'1.8 Device Sales'!G18/1000000</f>
        <v>16141.949313708559</v>
      </c>
      <c r="D10" s="197">
        <f>C10/C8</f>
        <v>3.693786322053947E-2</v>
      </c>
      <c r="E10" s="144" t="s">
        <v>3510</v>
      </c>
      <c r="F10" s="236">
        <v>11.23</v>
      </c>
    </row>
    <row r="11" spans="1:6" s="364" customFormat="1" ht="16" customHeight="1">
      <c r="A11" s="382"/>
      <c r="B11" s="286" t="s">
        <v>3567</v>
      </c>
      <c r="C11" s="374">
        <f>F11-C10</f>
        <v>67658.050686291448</v>
      </c>
      <c r="D11" s="197">
        <f>C11/C8</f>
        <v>0.15482292587154645</v>
      </c>
      <c r="E11" s="144" t="s">
        <v>3511</v>
      </c>
      <c r="F11" s="333">
        <f>83800000000/1000000</f>
        <v>83800</v>
      </c>
    </row>
    <row r="12" spans="1:6">
      <c r="A12" s="382"/>
      <c r="B12" s="286" t="s">
        <v>3341</v>
      </c>
      <c r="C12" s="373">
        <f>C8-SUM(C9:C11,C13)</f>
        <v>273738.34853050113</v>
      </c>
      <c r="D12" s="197">
        <f>C12/C8</f>
        <v>0.62639954318583924</v>
      </c>
      <c r="E12" s="144" t="s">
        <v>3505</v>
      </c>
      <c r="F12" s="144"/>
    </row>
    <row r="13" spans="1:6">
      <c r="A13" s="326" t="s">
        <v>3507</v>
      </c>
      <c r="B13" s="286" t="s">
        <v>3340</v>
      </c>
      <c r="C13" s="375">
        <f>F13</f>
        <v>65190.118474225586</v>
      </c>
      <c r="D13" s="197">
        <f>C13/C8</f>
        <v>0.1491755198045831</v>
      </c>
      <c r="E13" s="255" t="s">
        <v>3512</v>
      </c>
      <c r="F13" s="334">
        <v>65190.118474225586</v>
      </c>
    </row>
    <row r="14" spans="1:6">
      <c r="C14" s="376">
        <f>SUM(C9:C13)</f>
        <v>437002.79080390203</v>
      </c>
      <c r="D14" s="372">
        <f>SUM(D9:D13)</f>
        <v>0.99999999999999989</v>
      </c>
      <c r="E14"/>
      <c r="F14"/>
    </row>
    <row r="15" spans="1:6">
      <c r="A15" s="328"/>
      <c r="B15" s="328"/>
      <c r="C15" s="287"/>
      <c r="D15"/>
      <c r="E15"/>
      <c r="F15"/>
    </row>
    <row r="16" spans="1:6">
      <c r="E16"/>
      <c r="F16"/>
    </row>
    <row r="17" spans="1:6">
      <c r="A17" s="328"/>
      <c r="B17" s="328"/>
      <c r="D17"/>
      <c r="E17"/>
      <c r="F17"/>
    </row>
    <row r="18" spans="1:6" s="255" customFormat="1">
      <c r="A18" s="328"/>
      <c r="B18" s="328"/>
      <c r="D18"/>
      <c r="E18"/>
      <c r="F18"/>
    </row>
    <row r="19" spans="1:6" s="255" customFormat="1">
      <c r="A19" s="328"/>
      <c r="B19" s="328"/>
      <c r="D19"/>
      <c r="E19"/>
      <c r="F19"/>
    </row>
    <row r="20" spans="1:6" s="255" customFormat="1">
      <c r="A20" s="328"/>
      <c r="B20" s="328"/>
      <c r="D20"/>
      <c r="E20"/>
      <c r="F20"/>
    </row>
    <row r="21" spans="1:6" s="255" customFormat="1">
      <c r="A21"/>
      <c r="B21" s="328"/>
      <c r="C21" s="288" t="s">
        <v>11</v>
      </c>
      <c r="D21"/>
      <c r="E21"/>
      <c r="F21"/>
    </row>
    <row r="22" spans="1:6" s="255" customFormat="1">
      <c r="A22"/>
      <c r="B22" s="328"/>
      <c r="C22" s="288"/>
      <c r="D22"/>
      <c r="E22"/>
      <c r="F22"/>
    </row>
    <row r="23" spans="1:6" s="255" customFormat="1">
      <c r="A23"/>
      <c r="B23" s="328"/>
      <c r="C23" s="288"/>
      <c r="D23"/>
      <c r="E23"/>
      <c r="F23"/>
    </row>
    <row r="24" spans="1:6" s="255" customFormat="1">
      <c r="A24"/>
      <c r="B24" s="328"/>
      <c r="C24"/>
      <c r="D24"/>
      <c r="E24"/>
      <c r="F24"/>
    </row>
    <row r="25" spans="1:6" s="255" customFormat="1">
      <c r="A25"/>
      <c r="B25" s="328"/>
      <c r="C25"/>
      <c r="D25"/>
      <c r="E25"/>
      <c r="F25"/>
    </row>
    <row r="26" spans="1:6" s="255" customFormat="1">
      <c r="A26"/>
      <c r="B26" s="328"/>
      <c r="C26"/>
      <c r="D26"/>
      <c r="E26"/>
      <c r="F26"/>
    </row>
    <row r="27" spans="1:6" s="255" customFormat="1">
      <c r="A27"/>
      <c r="B27" s="328"/>
      <c r="C27"/>
      <c r="D27"/>
      <c r="E27"/>
      <c r="F27"/>
    </row>
    <row r="29" spans="1:6" s="255" customFormat="1">
      <c r="A29" s="256"/>
      <c r="B29" s="256"/>
    </row>
  </sheetData>
  <mergeCells count="4">
    <mergeCell ref="A5:F5"/>
    <mergeCell ref="E8:F8"/>
    <mergeCell ref="E9:F9"/>
    <mergeCell ref="A9:A12"/>
  </mergeCells>
  <phoneticPr fontId="15" type="noConversion"/>
  <pageMargins left="0.7" right="0.7" top="0.75" bottom="0.75" header="0.3" footer="0.3"/>
  <pageSetup orientation="landscape" horizontalDpi="4294967292" verticalDpi="4294967292"/>
  <headerFooter>
    <oddHeader>&amp;LA New Dataset on Mobile Phone _x000D_Patent License Royalties&amp;C&amp;"-,Bold"&amp;A&amp;RSeptember 2016 Update</oddHeader>
    <oddFooter>&amp;LAlexander Galetovic, Stephen Haber, _x000D_and Lew Zaretzki&amp;C&amp;P of &amp;N</oddFooter>
  </headerFooter>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51</vt:i4>
      </vt:variant>
      <vt:variant>
        <vt:lpstr>Charts</vt:lpstr>
      </vt:variant>
      <vt:variant>
        <vt:i4>2</vt:i4>
      </vt:variant>
    </vt:vector>
  </HeadingPairs>
  <TitlesOfParts>
    <vt:vector size="53" baseType="lpstr">
      <vt:lpstr>Title Page</vt:lpstr>
      <vt:lpstr>Citation Info</vt:lpstr>
      <vt:lpstr>Table of Contents</vt:lpstr>
      <vt:lpstr>1.0 Overview-&gt;</vt:lpstr>
      <vt:lpstr>1.1 Intro </vt:lpstr>
      <vt:lpstr>1.2 Contact</vt:lpstr>
      <vt:lpstr>1.3 Royalty Yield Summary 2015</vt:lpstr>
      <vt:lpstr>1.4 Royalty Yield Series</vt:lpstr>
      <vt:lpstr>1.5 Economic Summary 2015</vt:lpstr>
      <vt:lpstr>1.6 Sensitivity</vt:lpstr>
      <vt:lpstr>1.7 Revenues by Licensor</vt:lpstr>
      <vt:lpstr>1.8 Device Sales</vt:lpstr>
      <vt:lpstr>1.9 OEM Sales</vt:lpstr>
      <vt:lpstr>2.0 Leaders-&gt;</vt:lpstr>
      <vt:lpstr>2.1 Qualcomm</vt:lpstr>
      <vt:lpstr>2.2 Ericsson</vt:lpstr>
      <vt:lpstr>2.3 Nokia</vt:lpstr>
      <vt:lpstr>2.3.1 Alcatel-Lucent (Nokia)</vt:lpstr>
      <vt:lpstr>2.4 Interdigital</vt:lpstr>
      <vt:lpstr>2.5 Microsoft</vt:lpstr>
      <vt:lpstr>3.0 Other Public-&gt;</vt:lpstr>
      <vt:lpstr>3.1 Philips</vt:lpstr>
      <vt:lpstr>3.2 ATT 802.11</vt:lpstr>
      <vt:lpstr>3.3 ATT MPEG4</vt:lpstr>
      <vt:lpstr>3.4 Broadcom</vt:lpstr>
      <vt:lpstr>3.5 Tessera</vt:lpstr>
      <vt:lpstr>3.6 Rambus</vt:lpstr>
      <vt:lpstr>3.7 Acacia Technologies</vt:lpstr>
      <vt:lpstr>3.8 WiLAN</vt:lpstr>
      <vt:lpstr>3.9 Parkervision</vt:lpstr>
      <vt:lpstr>3.10 Unwired Planet</vt:lpstr>
      <vt:lpstr>3.11 VirnetX</vt:lpstr>
      <vt:lpstr>3.12 Marathon Patent Group</vt:lpstr>
      <vt:lpstr>4.0 Pools-&gt;</vt:lpstr>
      <vt:lpstr>4.1 Via Licensing AAC</vt:lpstr>
      <vt:lpstr>4.2 Via Licensing LTE</vt:lpstr>
      <vt:lpstr>4.3 MPEGLA MPEG4</vt:lpstr>
      <vt:lpstr>4.4 MPEGLA AVC H.264</vt:lpstr>
      <vt:lpstr>4.5 SISVEL LTE</vt:lpstr>
      <vt:lpstr>4.6 SISVEL Wifi</vt:lpstr>
      <vt:lpstr>4.7 SIPROLab WCDMA</vt:lpstr>
      <vt:lpstr>4.8 Vectis WiFi</vt:lpstr>
      <vt:lpstr>5.0 Other Private-&gt;</vt:lpstr>
      <vt:lpstr>5.1 SISVEL Wireless</vt:lpstr>
      <vt:lpstr>5.2 IP Com</vt:lpstr>
      <vt:lpstr>5.3 PanOptis-Optis</vt:lpstr>
      <vt:lpstr>5.4 IP Bridge</vt:lpstr>
      <vt:lpstr>5.5 Intellectual Ventures</vt:lpstr>
      <vt:lpstr>5.6 Huawei</vt:lpstr>
      <vt:lpstr>6.0 Others</vt:lpstr>
      <vt:lpstr>7.0 Closing</vt:lpstr>
      <vt:lpstr>1.4.1 Fig-Royalty Yield Series</vt:lpstr>
      <vt:lpstr>1.5.1 Fig-Economic Summary 2015</vt:lpstr>
    </vt:vector>
  </TitlesOfParts>
  <Company>Stanford University, Hoover Institution</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 New Dataset on Mobile Phone Patent License Royalties</dc:title>
  <dc:subject>Mobile Patent Licensing Royalties</dc:subject>
  <dc:creator>Galetovic, Haber and Zaretzki</dc:creator>
  <cp:keywords>Mobile, Smartphone, Patent licensing, Royalties</cp:keywords>
  <dc:description>Updated July 2016</dc:description>
  <cp:lastModifiedBy>stephen haber</cp:lastModifiedBy>
  <cp:lastPrinted>2016-09-24T18:09:43Z</cp:lastPrinted>
  <dcterms:created xsi:type="dcterms:W3CDTF">2016-06-08T18:40:24Z</dcterms:created>
  <dcterms:modified xsi:type="dcterms:W3CDTF">2016-09-26T06:06:49Z</dcterms:modified>
  <cp:category>Data Set</cp:category>
</cp:coreProperties>
</file>